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x4hZNlfTyLZwQ/mTWXK8wH6TPD/gmzMokeG0MlAVtLa5Bc+WrS8Y46nFA6qT5GKAAI3BxC4CICeF6ocLqslMVA==" workbookSaltValue="wW01dW50M8Y5C3WVMByt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B12" i="6" s="1"/>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EQ19" i="8"/>
  <c r="AP12" i="11"/>
  <c r="AT18" i="17"/>
  <c r="AL10" i="11"/>
  <c r="N10" i="11"/>
  <c r="N9" i="11"/>
  <c r="F10" i="10"/>
  <c r="N11" i="11"/>
  <c r="ES19" i="8"/>
  <c r="S19" i="13"/>
  <c r="AG19" i="19"/>
  <c r="F9" i="11"/>
  <c r="CI19" i="8"/>
  <c r="AE19" i="8"/>
  <c r="F17" i="16"/>
  <c r="BL17" i="16" s="1"/>
  <c r="EP19" i="8"/>
  <c r="ER19" i="13"/>
  <c r="AL13" i="16"/>
  <c r="P17" i="17"/>
  <c r="S13" i="16"/>
  <c r="H18" i="16"/>
  <c r="P13" i="16"/>
  <c r="AN13" i="20"/>
  <c r="F15" i="17"/>
  <c r="F17" i="17"/>
  <c r="AQ17" i="17" s="1"/>
  <c r="M13" i="2"/>
  <c r="H13" i="12"/>
  <c r="AJ19" i="8"/>
  <c r="BM12" i="11"/>
  <c r="R17" i="20"/>
  <c r="R18" i="20" s="1"/>
  <c r="BV12" i="16"/>
  <c r="AA16" i="16"/>
  <c r="BI9" i="11"/>
  <c r="BH12" i="16"/>
  <c r="S19" i="8"/>
  <c r="BF15" i="8"/>
  <c r="BD12" i="8"/>
  <c r="H12" i="7" s="1"/>
  <c r="BD9" i="8"/>
  <c r="BA13" i="8"/>
  <c r="AV18" i="17"/>
  <c r="J18" i="17"/>
  <c r="T13" i="16"/>
  <c r="AP13" i="16"/>
  <c r="F11" i="11"/>
  <c r="AQ11" i="11" s="1"/>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N20" i="20"/>
  <c r="R20" i="20"/>
  <c r="AV20" i="20"/>
  <c r="AO20" i="20"/>
  <c r="Z20" i="20"/>
  <c r="O16" i="11"/>
  <c r="T20" i="20"/>
  <c r="I20" i="20"/>
  <c r="AD20" i="20"/>
  <c r="M20" i="20"/>
  <c r="W20" i="21"/>
  <c r="W20" i="20"/>
  <c r="AI20" i="20"/>
  <c r="AG20" i="20"/>
  <c r="AU20" i="20"/>
  <c r="Y20" i="20"/>
  <c r="O20" i="20"/>
  <c r="AH20" i="20"/>
  <c r="H20" i="20"/>
  <c r="U12" i="11"/>
  <c r="T20" i="21"/>
  <c r="AX20" i="20"/>
  <c r="X20" i="20"/>
  <c r="B17" i="6" l="1"/>
  <c r="C17" i="6"/>
  <c r="E18" i="12"/>
  <c r="C18" i="7"/>
  <c r="T19" i="8"/>
  <c r="AO16" i="11"/>
  <c r="AW18" i="21"/>
  <c r="AO12" i="17"/>
  <c r="AO12" i="11"/>
  <c r="Z13" i="17"/>
  <c r="AB19" i="8"/>
  <c r="Z19" i="8"/>
  <c r="AC10" i="11"/>
  <c r="AY13" i="8"/>
  <c r="BG10" i="8"/>
  <c r="T10" i="21"/>
  <c r="C19" i="3"/>
  <c r="L12" i="14"/>
  <c r="AL11" i="11"/>
  <c r="B9" i="6"/>
  <c r="E11" i="6"/>
  <c r="AO9" i="11"/>
  <c r="F9" i="2"/>
  <c r="H12" i="2"/>
  <c r="M18" i="2"/>
  <c r="N18" i="2"/>
  <c r="N19" i="2" s="1"/>
  <c r="BE15" i="13"/>
  <c r="BG15" i="8"/>
  <c r="K15" i="12" s="1"/>
  <c r="BH11" i="11"/>
  <c r="T16" i="11"/>
  <c r="AZ15" i="11"/>
  <c r="AZ18" i="11" s="1"/>
  <c r="BJ15" i="11"/>
  <c r="BK9" i="11"/>
  <c r="BL9" i="11"/>
  <c r="Q9" i="11" s="1"/>
  <c r="V10" i="21"/>
  <c r="B16" i="6"/>
  <c r="BF11" i="8"/>
  <c r="BF9" i="8"/>
  <c r="J9" i="7" s="1"/>
  <c r="C10" i="6"/>
  <c r="BF16" i="13"/>
  <c r="BE16" i="13"/>
  <c r="AO17" i="11"/>
  <c r="BD15" i="8"/>
  <c r="H15" i="7" s="1"/>
  <c r="BE15" i="8"/>
  <c r="I15" i="7" s="1"/>
  <c r="BG16" i="8"/>
  <c r="K16" i="7" s="1"/>
  <c r="E18" i="2"/>
  <c r="AL15" i="11"/>
  <c r="L16" i="14"/>
  <c r="F15" i="11"/>
  <c r="F16" i="17"/>
  <c r="F18" i="17" s="1"/>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AQ16" i="17"/>
  <c r="B19" i="7"/>
  <c r="AI19" i="11"/>
  <c r="K12" i="12"/>
  <c r="P12" i="11"/>
  <c r="D19" i="12"/>
  <c r="G19" i="7"/>
  <c r="I10" i="12"/>
  <c r="K10" i="12"/>
  <c r="I12" i="12"/>
  <c r="AL18" i="11"/>
  <c r="F18" i="2"/>
  <c r="H13" i="2"/>
  <c r="B18" i="6"/>
  <c r="BW21" i="20"/>
  <c r="BK13" i="11"/>
  <c r="BK19" i="11" s="1"/>
  <c r="P16" i="11"/>
  <c r="BI18" i="11"/>
  <c r="AS16" i="20"/>
  <c r="Q16" i="11"/>
  <c r="AM13" i="11"/>
  <c r="F18" i="11"/>
  <c r="J9" i="12"/>
  <c r="C18" i="6"/>
  <c r="I15" i="12"/>
  <c r="K16" i="12"/>
  <c r="Y13" i="11"/>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<sst xmlns="http://schemas.openxmlformats.org/spreadsheetml/2006/main" count="2102" uniqueCount="918">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</sst>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ZS3NpID5xdyLOZhzaItX5/GM/7LPhxXzpCnW7Jjm1ed1EWjD+551Ud0olgUgcw19/3HSz1l4bVnu9qwuxAw1g==" saltValue="Nj385vp6H60jkHsDOQl+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6.0769230769230766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99</v>
      </c>
      <c r="D16" s="224">
        <f>IF(ISNUMBER(IF(D_I="SI",Datos!I16,Datos!I16+Datos!AC16)),IF(D_I="SI",Datos!I16,Datos!I16+Datos!AC16)," - ")</f>
        <v>73</v>
      </c>
      <c r="E16" s="225">
        <f>IF(ISNUMBER(IF(D_I="SI",Datos!J16,Datos!J16+Datos!AD16)),IF(D_I="SI",Datos!J16,Datos!J16+Datos!AD16)," - ")</f>
        <v>286</v>
      </c>
      <c r="F16" s="225">
        <f>IF(ISNUMBER(IF(D_I="SI",Datos!K16,Datos!K16+Datos!AE16)),IF(D_I="SI",Datos!K16,Datos!K16+Datos!AE16)," - ")</f>
        <v>298</v>
      </c>
      <c r="G16" s="1033" t="str">
        <f>IF(Datos!E16&lt;&gt;"",Datos!E16,Datos!D16)</f>
        <v>04</v>
      </c>
      <c r="H16" s="226">
        <f>IF(ISNUMBER(IF(D_I="SI",Datos!L16,Datos!L16+Datos!AF16)),IF(D_I="SI",Datos!L16,Datos!L16+Datos!AF16)," - ")</f>
        <v>87</v>
      </c>
      <c r="I16" s="1043" t="str">
        <f>IF(ISNUMBER(Datos!AS16/Datos!BM16),Datos!AS16/Datos!BM16," - ")</f>
        <v xml:space="preserve"> - </v>
      </c>
      <c r="J16" s="1044">
        <f>IF(ISNUMBER(Datos!BY16/Datos!CN16),Datos!BY16/Datos!CN16," - ")</f>
        <v>0</v>
      </c>
      <c r="K16" s="229">
        <f t="shared" si="3"/>
        <v>-0.12121212121212122</v>
      </c>
      <c r="L16" s="1024">
        <f>IF(ISNUMBER(NºAsuntos!I16/NºAsuntos!G16),(NºAsuntos!I16/NºAsuntos!G16)*11," - ")</f>
        <v>3.2114093959731544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20</v>
      </c>
      <c r="F17" s="225">
        <f>IF(ISNUMBER(IF(D_I="SI",Datos!K17,Datos!K17+Datos!AE17)),IF(D_I="SI",Datos!K17,Datos!K17+Datos!AE17)," - ")</f>
        <v>16</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1.3333333333333333</v>
      </c>
      <c r="L17" s="1024">
        <f>IF(ISNUMBER(NºAsuntos!I17/NºAsuntos!G17),(NºAsuntos!I17/NºAsuntos!G17)*11," - ")</f>
        <v>4.8125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102</v>
      </c>
      <c r="D18" s="1048">
        <f>SUBTOTAL(9,D15:D17)</f>
        <v>76</v>
      </c>
      <c r="E18" s="1049">
        <f>SUBTOTAL(9,E15:E17)</f>
        <v>306</v>
      </c>
      <c r="F18" s="1049">
        <f>SUBTOTAL(9,F15:F17)</f>
        <v>314</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102</v>
      </c>
      <c r="D19" s="1070">
        <f>SUBTOTAL(9,D9:D18)</f>
        <v>76</v>
      </c>
      <c r="E19" s="1071">
        <f>SUBTOTAL(9,E9:E18)</f>
        <v>306</v>
      </c>
      <c r="F19" s="1071">
        <f>SUBTOTAL(9,F9:F18)</f>
        <v>314</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o72GxYMRv7RYgkuSCSauF/pcYzvcK+7H+u+y1NwxbSN9Lwus5k++CYIwcB93hjC6lI73y9CVxbXhujbFszjfQ==" saltValue="7kvKbpg8f4q862AwUsbO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kG2qFb8DdiH6He8KgkHsflXMIRpjfA3SeWyJZYFmuRMWig8dNiFiHIYr+7UxTLHwYQaVVQxWdTW02ofyg6Tyg==" saltValue="yP6yK2XpjkdPeFBKeCQN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163</v>
      </c>
      <c r="J12" s="182">
        <v>261</v>
      </c>
      <c r="K12" s="182">
        <v>270</v>
      </c>
      <c r="L12" s="182">
        <v>154</v>
      </c>
      <c r="M12" s="182">
        <v>66</v>
      </c>
      <c r="N12" s="182">
        <v>140</v>
      </c>
      <c r="O12" s="180">
        <v>111</v>
      </c>
      <c r="P12" s="182">
        <v>85</v>
      </c>
      <c r="Q12" s="182">
        <v>39</v>
      </c>
      <c r="R12" s="182">
        <v>595</v>
      </c>
      <c r="S12" s="182">
        <v>146</v>
      </c>
      <c r="T12" s="182">
        <v>303</v>
      </c>
      <c r="U12" s="182">
        <v>285</v>
      </c>
      <c r="V12" s="182">
        <v>163</v>
      </c>
      <c r="W12" s="182">
        <v>82</v>
      </c>
      <c r="X12" s="188">
        <v>150</v>
      </c>
      <c r="Y12" s="190">
        <v>4</v>
      </c>
      <c r="Z12" s="180">
        <v>16</v>
      </c>
      <c r="AA12" s="180">
        <v>16</v>
      </c>
      <c r="AB12" s="180">
        <v>4</v>
      </c>
      <c r="AC12" s="182">
        <v>0</v>
      </c>
      <c r="AD12" s="182">
        <v>0</v>
      </c>
      <c r="AE12" s="182">
        <v>0</v>
      </c>
      <c r="AF12" s="188">
        <v>0</v>
      </c>
      <c r="AG12" s="201">
        <v>0</v>
      </c>
      <c r="AH12" s="182">
        <v>17</v>
      </c>
      <c r="AI12" s="182">
        <v>11</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146</v>
      </c>
      <c r="AZ12" s="127">
        <f t="shared" si="1"/>
        <v>320</v>
      </c>
      <c r="BA12" s="127">
        <f t="shared" si="1"/>
        <v>296</v>
      </c>
      <c r="BB12" s="127">
        <f t="shared" si="1"/>
        <v>167</v>
      </c>
      <c r="BC12" s="125">
        <f>IF(ISNUMBER(X12),X12," - ")</f>
        <v>150</v>
      </c>
      <c r="BD12" s="126">
        <f t="shared" si="2"/>
        <v>0.92500000000000004</v>
      </c>
      <c r="BE12" s="127">
        <f t="shared" si="3"/>
        <v>0.56418918918918914</v>
      </c>
      <c r="BF12" s="127">
        <f t="shared" si="4"/>
        <v>0.5067567567567568</v>
      </c>
      <c r="BG12" s="195">
        <f t="shared" si="5"/>
        <v>1.5743243243243243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163</v>
      </c>
      <c r="J13" s="183">
        <f t="shared" si="6"/>
        <v>261</v>
      </c>
      <c r="K13" s="183">
        <f t="shared" si="6"/>
        <v>270</v>
      </c>
      <c r="L13" s="183">
        <f t="shared" si="6"/>
        <v>154</v>
      </c>
      <c r="M13" s="183">
        <f t="shared" si="6"/>
        <v>66</v>
      </c>
      <c r="N13" s="183">
        <f t="shared" si="6"/>
        <v>140</v>
      </c>
      <c r="O13" s="183">
        <f t="shared" si="6"/>
        <v>111</v>
      </c>
      <c r="P13" s="183">
        <f t="shared" si="6"/>
        <v>85</v>
      </c>
      <c r="Q13" s="183">
        <f t="shared" si="6"/>
        <v>39</v>
      </c>
      <c r="R13" s="183">
        <f t="shared" si="6"/>
        <v>595</v>
      </c>
      <c r="S13" s="183">
        <f t="shared" si="6"/>
        <v>146</v>
      </c>
      <c r="T13" s="183">
        <f t="shared" si="6"/>
        <v>303</v>
      </c>
      <c r="U13" s="183">
        <f t="shared" si="6"/>
        <v>285</v>
      </c>
      <c r="V13" s="183">
        <f t="shared" si="6"/>
        <v>163</v>
      </c>
      <c r="W13" s="183">
        <f t="shared" si="6"/>
        <v>82</v>
      </c>
      <c r="X13" s="183">
        <f t="shared" si="6"/>
        <v>150</v>
      </c>
      <c r="Y13" s="183">
        <f t="shared" si="6"/>
        <v>4</v>
      </c>
      <c r="Z13" s="183">
        <f t="shared" si="6"/>
        <v>16</v>
      </c>
      <c r="AA13" s="183">
        <f t="shared" si="6"/>
        <v>16</v>
      </c>
      <c r="AB13" s="183">
        <f t="shared" si="6"/>
        <v>4</v>
      </c>
      <c r="AC13" s="183">
        <f t="shared" si="6"/>
        <v>0</v>
      </c>
      <c r="AD13" s="183">
        <f t="shared" si="6"/>
        <v>0</v>
      </c>
      <c r="AE13" s="183">
        <f t="shared" si="6"/>
        <v>0</v>
      </c>
      <c r="AF13" s="183">
        <f>SUBTOTAL(9,AF9:AF12)</f>
        <v>0</v>
      </c>
      <c r="AG13" s="183">
        <f t="shared" ref="AG13:AT13" si="7">SUBTOTAL(9,AG8:AG12)</f>
        <v>0</v>
      </c>
      <c r="AH13" s="183">
        <f t="shared" si="7"/>
        <v>17</v>
      </c>
      <c r="AI13" s="183">
        <f t="shared" si="7"/>
        <v>11</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146</v>
      </c>
      <c r="AZ13" s="183">
        <f>SUBTOTAL(9,AZ8:AZ12)</f>
        <v>320</v>
      </c>
      <c r="BA13" s="183">
        <f>SUBTOTAL(9,BA8:BA12)</f>
        <v>296</v>
      </c>
      <c r="BB13" s="183">
        <f>SUBTOTAL(9,BB8:BB12)</f>
        <v>167</v>
      </c>
      <c r="BC13" s="183">
        <f>SUBTOTAL(9,BC8:BC12)</f>
        <v>150</v>
      </c>
      <c r="BD13" s="204">
        <f>IF(ISNUMBER(BA13/AZ13),BA13/AZ13," - ")</f>
        <v>0.92500000000000004</v>
      </c>
      <c r="BE13" s="205">
        <f>IF(ISNUMBER(BB13/BA13),BB13/BA13, " - ")</f>
        <v>0.56418918918918914</v>
      </c>
      <c r="BF13" s="205">
        <f>IF(ISNUMBER(BC13/BA13),BC13/BA13, " - ")</f>
        <v>0.5067567567567568</v>
      </c>
      <c r="BG13" s="206">
        <f>IF(ISNUMBER((AY13+AZ13)/BA13),(AY13+AZ13)/BA13," - ")</f>
        <v>1.5743243243243243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v>
      </c>
      <c r="J16" s="182">
        <v>286</v>
      </c>
      <c r="K16" s="182">
        <v>298</v>
      </c>
      <c r="L16" s="182">
        <v>87</v>
      </c>
      <c r="M16" s="182">
        <v>23</v>
      </c>
      <c r="N16" s="182">
        <v>193</v>
      </c>
      <c r="O16" s="180">
        <v>3</v>
      </c>
      <c r="P16" s="182">
        <v>8</v>
      </c>
      <c r="Q16" s="182">
        <v>4</v>
      </c>
      <c r="R16" s="182">
        <v>16</v>
      </c>
      <c r="S16" s="182">
        <v>84</v>
      </c>
      <c r="T16" s="182">
        <v>259</v>
      </c>
      <c r="U16" s="182">
        <v>272</v>
      </c>
      <c r="V16" s="182">
        <v>73</v>
      </c>
      <c r="W16" s="182">
        <v>26</v>
      </c>
      <c r="X16" s="188">
        <v>170</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84</v>
      </c>
      <c r="AZ16" s="127">
        <f t="shared" si="9"/>
        <v>259</v>
      </c>
      <c r="BA16" s="127">
        <f t="shared" si="9"/>
        <v>272</v>
      </c>
      <c r="BB16" s="127">
        <f t="shared" si="9"/>
        <v>73</v>
      </c>
      <c r="BC16" s="125">
        <f>IF(ISNUMBER(W16),W16," - ")</f>
        <v>26</v>
      </c>
      <c r="BD16" s="126">
        <f t="shared" ref="BD16" si="11">IF(ISNUMBER(BA16/AZ16),BA16/AZ16," - ")</f>
        <v>1.0501930501930501</v>
      </c>
      <c r="BE16" s="127">
        <f t="shared" ref="BE16" si="12">IF(ISNUMBER(BB16/BA16),BB16/BA16, " - ")</f>
        <v>0.26838235294117646</v>
      </c>
      <c r="BF16" s="127">
        <f t="shared" ref="BF16" si="13">IF(ISNUMBER(BC16/BA16),BC16/BA16, " - ")</f>
        <v>9.5588235294117641E-2</v>
      </c>
      <c r="BG16" s="195">
        <f t="shared" si="10"/>
        <v>1.2610294117647058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20</v>
      </c>
      <c r="K17" s="182">
        <v>16</v>
      </c>
      <c r="L17" s="182">
        <v>7</v>
      </c>
      <c r="M17" s="182">
        <v>0</v>
      </c>
      <c r="N17" s="182">
        <v>13</v>
      </c>
      <c r="O17" s="182">
        <v>0</v>
      </c>
      <c r="P17" s="182">
        <v>0</v>
      </c>
      <c r="Q17" s="182">
        <v>0</v>
      </c>
      <c r="R17" s="182">
        <v>0</v>
      </c>
      <c r="S17" s="182">
        <v>3</v>
      </c>
      <c r="T17" s="182">
        <v>16</v>
      </c>
      <c r="U17" s="182">
        <v>17</v>
      </c>
      <c r="V17" s="182">
        <v>3</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16</v>
      </c>
      <c r="BA17" s="129">
        <f t="shared" si="14"/>
        <v>17</v>
      </c>
      <c r="BB17" s="129">
        <f t="shared" si="14"/>
        <v>3</v>
      </c>
      <c r="BC17" s="125">
        <f>IF(ISNUMBER(W17),W17," - ")</f>
        <v>0</v>
      </c>
      <c r="BD17" s="126">
        <f>IF(ISNUMBER(BA17/AZ17),BA17/AZ17," - ")</f>
        <v>1.0625</v>
      </c>
      <c r="BE17" s="127">
        <f>IF(ISNUMBER(BB17/BA17),BB17/BA17, " - ")</f>
        <v>0.17647058823529413</v>
      </c>
      <c r="BF17" s="127">
        <f>IF(ISNUMBER(BC17/BA17),BC17/BA17, " - ")</f>
        <v>0</v>
      </c>
      <c r="BG17" s="195">
        <f>IF(ISNUMBER((AY17+AZ17)/BA17),(AY17+AZ17)/BA17," - ")</f>
        <v>1.1176470588235294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76</v>
      </c>
      <c r="J18" s="183">
        <f t="shared" si="15"/>
        <v>306</v>
      </c>
      <c r="K18" s="183">
        <f t="shared" si="15"/>
        <v>314</v>
      </c>
      <c r="L18" s="183">
        <f t="shared" si="15"/>
        <v>94</v>
      </c>
      <c r="M18" s="183">
        <f t="shared" si="15"/>
        <v>23</v>
      </c>
      <c r="N18" s="183">
        <f t="shared" si="15"/>
        <v>206</v>
      </c>
      <c r="O18" s="183">
        <f t="shared" si="15"/>
        <v>3</v>
      </c>
      <c r="P18" s="183">
        <f t="shared" si="15"/>
        <v>8</v>
      </c>
      <c r="Q18" s="183">
        <f t="shared" si="15"/>
        <v>4</v>
      </c>
      <c r="R18" s="183">
        <f t="shared" si="15"/>
        <v>16</v>
      </c>
      <c r="S18" s="183">
        <f t="shared" si="15"/>
        <v>87</v>
      </c>
      <c r="T18" s="183">
        <f t="shared" si="15"/>
        <v>275</v>
      </c>
      <c r="U18" s="183">
        <f t="shared" si="15"/>
        <v>289</v>
      </c>
      <c r="V18" s="183">
        <f t="shared" si="15"/>
        <v>76</v>
      </c>
      <c r="W18" s="183">
        <f t="shared" si="15"/>
        <v>26</v>
      </c>
      <c r="X18" s="183">
        <f t="shared" si="15"/>
        <v>182</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87</v>
      </c>
      <c r="AZ18" s="183">
        <f>SUBTOTAL(9,AZ14:AZ17)</f>
        <v>275</v>
      </c>
      <c r="BA18" s="183">
        <f>SUBTOTAL(9,BA14:BA17)</f>
        <v>289</v>
      </c>
      <c r="BB18" s="183">
        <f>SUBTOTAL(9,BB14:BB17)</f>
        <v>76</v>
      </c>
      <c r="BC18" s="183">
        <f>SUBTOTAL(9,BC14:BC17)</f>
        <v>26</v>
      </c>
      <c r="BD18" s="204">
        <f>IF(ISNUMBER(BA18/AZ18),BA18/AZ18," - ")</f>
        <v>1.050909090909091</v>
      </c>
      <c r="BE18" s="205">
        <f>IF(ISNUMBER(BB18/BA18),BB18/BA18, " - ")</f>
        <v>0.26297577854671278</v>
      </c>
      <c r="BF18" s="205">
        <f>IF(ISNUMBER(BC18/BA18),BC18/BA18, " - ")</f>
        <v>8.9965397923875437E-2</v>
      </c>
      <c r="BG18" s="206">
        <f>IF(ISNUMBER((AY18+AZ18)/BA18),(AY18+AZ18)/BA18," - ")</f>
        <v>1.2525951557093427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239</v>
      </c>
      <c r="J19" s="134">
        <f t="shared" si="18"/>
        <v>567</v>
      </c>
      <c r="K19" s="134">
        <f t="shared" si="18"/>
        <v>584</v>
      </c>
      <c r="L19" s="134">
        <f t="shared" si="18"/>
        <v>248</v>
      </c>
      <c r="M19" s="134">
        <f t="shared" si="18"/>
        <v>89</v>
      </c>
      <c r="N19" s="134">
        <f t="shared" si="18"/>
        <v>346</v>
      </c>
      <c r="O19" s="134">
        <f t="shared" si="18"/>
        <v>114</v>
      </c>
      <c r="P19" s="134">
        <f t="shared" si="18"/>
        <v>93</v>
      </c>
      <c r="Q19" s="134">
        <f t="shared" si="18"/>
        <v>43</v>
      </c>
      <c r="R19" s="134">
        <f t="shared" si="18"/>
        <v>611</v>
      </c>
      <c r="S19" s="134">
        <f t="shared" si="18"/>
        <v>233</v>
      </c>
      <c r="T19" s="134">
        <f t="shared" si="18"/>
        <v>578</v>
      </c>
      <c r="U19" s="134">
        <f t="shared" si="18"/>
        <v>574</v>
      </c>
      <c r="V19" s="134">
        <f t="shared" si="18"/>
        <v>239</v>
      </c>
      <c r="W19" s="134">
        <f t="shared" si="18"/>
        <v>108</v>
      </c>
      <c r="X19" s="134">
        <f t="shared" si="18"/>
        <v>332</v>
      </c>
      <c r="Y19" s="134">
        <f t="shared" si="18"/>
        <v>4</v>
      </c>
      <c r="Z19" s="134">
        <f t="shared" si="18"/>
        <v>16</v>
      </c>
      <c r="AA19" s="134">
        <f t="shared" si="18"/>
        <v>16</v>
      </c>
      <c r="AB19" s="134">
        <f t="shared" si="18"/>
        <v>4</v>
      </c>
      <c r="AC19" s="134">
        <f t="shared" si="18"/>
        <v>0</v>
      </c>
      <c r="AD19" s="134">
        <f t="shared" si="18"/>
        <v>1</v>
      </c>
      <c r="AE19" s="134">
        <f t="shared" si="18"/>
        <v>0</v>
      </c>
      <c r="AF19" s="134">
        <f t="shared" si="18"/>
        <v>1</v>
      </c>
      <c r="AG19" s="134">
        <f t="shared" si="18"/>
        <v>0</v>
      </c>
      <c r="AH19" s="134">
        <f t="shared" si="18"/>
        <v>17</v>
      </c>
      <c r="AI19" s="134">
        <f t="shared" si="18"/>
        <v>11</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233</v>
      </c>
      <c r="AZ19" s="134">
        <f>SUBTOTAL(9,AZ9:AZ18)</f>
        <v>595</v>
      </c>
      <c r="BA19" s="134">
        <f>SUBTOTAL(9,BA9:BA18)</f>
        <v>585</v>
      </c>
      <c r="BB19" s="134">
        <f>SUBTOTAL(9,BB9:BB18)</f>
        <v>243</v>
      </c>
      <c r="BC19" s="135">
        <f>SUBTOTAL(9,BC9:BC18)</f>
        <v>176</v>
      </c>
      <c r="BD19" s="212">
        <f>IF(ISNUMBER(BA19/AZ19),BA19/AZ19," - ")</f>
        <v>0.98319327731092432</v>
      </c>
      <c r="BE19" s="209">
        <f>IF(ISNUMBER(BB19/BA19),BB19/BA19, " - ")</f>
        <v>0.41538461538461541</v>
      </c>
      <c r="BF19" s="209">
        <f>IF(ISNUMBER(BC19/BA19),BC19/BA19, " - ")</f>
        <v>0.30085470085470084</v>
      </c>
      <c r="BG19" s="135">
        <f>IF(ISNUMBER((AY19+AZ19)/BA19),(AY19+AZ19)/BA19," - ")</f>
        <v>1.4153846153846155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j1f8rpmSQFjTKEwq3ygKeH2fc1sjwj8mlOUgcfA+ATi0+Kas28pXOaoiWoUokt5K6L8LCBmaDkIsoM5lEF6g==" saltValue="QjhmcEv9CPwt3he5wgbk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oBt9Q3an77zhqd07VynEi/eJJAvJH/7gGEET6aN1yZS+K2xsFMUVsCLl514fZqH3IHSQiksMWLJC6JXE8uSQ==" saltValue="v/ON2azfxCJ+hYupNTzn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v>
      </c>
      <c r="AI12" s="333" t="str">
        <f>IF(ISNUMBER(Datos!CD12),Datos!CD12,"-")</f>
        <v>-</v>
      </c>
      <c r="AJ12" s="333" t="str">
        <f>IF(ISNUMBER(Datos!EN12),Datos!EN12," - ")</f>
        <v xml:space="preserve"> - </v>
      </c>
      <c r="AK12" s="333"/>
      <c r="AL12" s="478"/>
      <c r="AM12" s="334">
        <f>IF(ISNUMBER(Datos!R12),Datos!R12," - ")</f>
        <v>595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66</v>
      </c>
      <c r="BD12" s="228">
        <f>IF(ISNUMBER(Datos!N12),Datos!N12," - ")</f>
        <v>140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1.0324909747292419</v>
      </c>
      <c r="BH12" s="259">
        <f>IF(ISNUMBER(((IF(J_V="SI",Datos!L12/Datos!K12,(Datos!L12+Datos!AB12)/(Datos!K12+Datos!AA12)))*11)/factor_trimestre),((IF(J_V="SI",Datos!L12/Datos!K12,(Datos!L12+Datos!AB12)/(Datos!K12+Datos!AA12)))*11)/factor_trimestre," - ")</f>
        <v>6.0769230769230766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8.3788706739526417E-2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39</v>
      </c>
      <c r="AD13" s="898">
        <f t="shared" si="1"/>
        <v>0</v>
      </c>
      <c r="AE13" s="898">
        <f t="shared" si="1"/>
        <v>0</v>
      </c>
      <c r="AF13" s="898">
        <f t="shared" si="1"/>
        <v>0</v>
      </c>
      <c r="AG13" s="898">
        <f t="shared" si="1"/>
        <v>0</v>
      </c>
      <c r="AH13" s="898">
        <f t="shared" si="1"/>
        <v>4</v>
      </c>
      <c r="AI13" s="898">
        <f t="shared" si="1"/>
        <v>0</v>
      </c>
      <c r="AJ13" s="898">
        <f t="shared" si="1"/>
        <v>0</v>
      </c>
      <c r="AK13" s="898">
        <f t="shared" si="1"/>
        <v>0</v>
      </c>
      <c r="AL13" s="898">
        <f t="shared" si="1"/>
        <v>0</v>
      </c>
      <c r="AM13" s="898">
        <f t="shared" si="1"/>
        <v>595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66</v>
      </c>
      <c r="BD13" s="898">
        <f t="shared" si="1"/>
        <v>140</v>
      </c>
      <c r="BE13" s="898">
        <f t="shared" si="1"/>
        <v>0</v>
      </c>
      <c r="BF13" s="898">
        <f t="shared" si="1"/>
        <v>0</v>
      </c>
      <c r="BG13" s="898">
        <f>IF(ISNUMBER(Datos!K13/Datos!J13),Datos!K13/Datos!J13," - ")</f>
        <v>1.0344827586206897</v>
      </c>
      <c r="BH13" s="902">
        <f>IF(ISNUMBER(((Datos!L13/Datos!K13)*11)/factor_trimestre),((Datos!L13/Datos!K13)*11)/factor_trimestre," - ")</f>
        <v>6.2740740740740746</v>
      </c>
      <c r="BI13" s="898">
        <f>IF(ISNUMBER('Resol  Asuntos'!D13/NºAsuntos!G13),'Resol  Asuntos'!D13/NºAsuntos!G13," - ")</f>
        <v>0.23076923076923078</v>
      </c>
      <c r="BJ13" s="898" t="str">
        <f>IF(ISNUMBER(Datos!CI13/Datos!CJ13),Datos!CI13/Datos!CJ13," - ")</f>
        <v xml:space="preserve"> - </v>
      </c>
      <c r="BK13" s="898">
        <f>SUBTOTAL(9,BK8:BK12)</f>
        <v>0</v>
      </c>
      <c r="BL13" s="898" t="str">
        <f>IF(ISNUMBER((I13-AB13+L13)/(F13)),(I13-AB13+L13)/(F13)," - ")</f>
        <v xml:space="preserve"> - </v>
      </c>
      <c r="BM13" s="903">
        <f>SUBTOTAL(9,BM9:BM12)</f>
        <v>8.3788706739526417E-2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99</v>
      </c>
      <c r="G16" s="597">
        <f>IF(ISNUMBER(IF(D_I="SI",Datos!I16,Datos!I16+Datos!AC16)),IF(D_I="SI",Datos!I16,Datos!I16+Datos!AC16)," - ")</f>
        <v>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298</v>
      </c>
      <c r="AC16" s="225">
        <f>IF(ISNUMBER(Datos!Q16),Datos!Q16," - ")</f>
        <v>4</v>
      </c>
      <c r="AD16" s="333"/>
      <c r="AE16" s="483"/>
      <c r="AF16" s="595">
        <f>IF(ISNUMBER(IF(D_I="SI",Datos!L16,Datos!L16+Datos!AF16)),IF(D_I="SI",Datos!L16,Datos!L16+Datos!AF16)," - ")</f>
        <v>87</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193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1.0419580419580419</v>
      </c>
      <c r="BH16" s="259">
        <f>IF(ISNUMBER(((IF(D_I="SI",Datos!L16/Datos!K16,(Datos!L16+Datos!AF16)/(Datos!K16+Datos!AE16)))*11)/factor_trimestre),((IF(D_I="SI",Datos!L16/Datos!K16,(Datos!L16+Datos!AF16)/(Datos!K16+Datos!AE16)))*11)/factor_trimestre," - ")</f>
        <v>3.2114093959731544</v>
      </c>
      <c r="BI16" s="242">
        <f>IF(ISNUMBER('Resol  Asuntos'!D16/NºAsuntos!G16),'Resol  Asuntos'!D16/NºAsuntos!G16," - ")</f>
        <v>7.7181208053691275E-2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4.8125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99</v>
      </c>
      <c r="G18" s="897">
        <f>SUBTOTAL(9,G15:G17)</f>
        <v>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314</v>
      </c>
      <c r="AC18" s="898">
        <f t="shared" si="4"/>
        <v>4</v>
      </c>
      <c r="AD18" s="898">
        <f t="shared" si="4"/>
        <v>0</v>
      </c>
      <c r="AE18" s="898">
        <f t="shared" si="4"/>
        <v>0</v>
      </c>
      <c r="AF18" s="898">
        <f t="shared" si="4"/>
        <v>94</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v>
      </c>
      <c r="BD18" s="898">
        <f t="shared" si="4"/>
        <v>206</v>
      </c>
      <c r="BE18" s="898">
        <f t="shared" si="4"/>
        <v>0</v>
      </c>
      <c r="BF18" s="898">
        <f t="shared" si="4"/>
        <v>0</v>
      </c>
      <c r="BG18" s="898">
        <f>IF(ISNUMBER(Datos!K18/Datos!J18),Datos!K18/Datos!J18," - ")</f>
        <v>1.0261437908496731</v>
      </c>
      <c r="BH18" s="902">
        <f>IF(ISNUMBER(((Datos!L18/Datos!K18)*11)/factor_trimestre),((Datos!L18/Datos!K18)*11)/factor_trimestre," - ")</f>
        <v>3.2929936305732483</v>
      </c>
      <c r="BI18" s="898">
        <f>SUBTOTAL(9,BI15:BI17)</f>
        <v>7.7181208053691275E-2</v>
      </c>
      <c r="BJ18" s="898">
        <f>SUBTOTAL(9,BJ15:BJ17)</f>
        <v>0</v>
      </c>
      <c r="BK18" s="898">
        <f>SUBTOTAL(9,BK15:BK17)</f>
        <v>0</v>
      </c>
      <c r="BL18" s="898">
        <f>IF(ISNUMBER((I18-AB18+L18)/(F18)),(I18-AB18+L18)/(F18)," - ")</f>
        <v>-3.1717171717171717</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99</v>
      </c>
      <c r="G19" s="819">
        <f t="shared" si="6"/>
        <v>76</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314</v>
      </c>
      <c r="AC19" s="820">
        <f t="shared" si="7"/>
        <v>43</v>
      </c>
      <c r="AD19" s="820">
        <f t="shared" si="7"/>
        <v>0</v>
      </c>
      <c r="AE19" s="820">
        <f t="shared" si="7"/>
        <v>0</v>
      </c>
      <c r="AF19" s="827">
        <f t="shared" si="7"/>
        <v>94</v>
      </c>
      <c r="AG19" s="827">
        <f t="shared" si="7"/>
        <v>0</v>
      </c>
      <c r="AH19" s="827">
        <f t="shared" si="7"/>
        <v>4</v>
      </c>
      <c r="AI19" s="827">
        <f t="shared" si="7"/>
        <v>0</v>
      </c>
      <c r="AJ19" s="820">
        <f t="shared" si="7"/>
        <v>0</v>
      </c>
      <c r="AK19" s="827">
        <f t="shared" si="7"/>
        <v>0</v>
      </c>
      <c r="AL19" s="827">
        <f t="shared" si="7"/>
        <v>0</v>
      </c>
      <c r="AM19" s="827">
        <f t="shared" si="7"/>
        <v>611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v>
      </c>
      <c r="BD19" s="819">
        <f t="shared" si="7"/>
        <v>346</v>
      </c>
      <c r="BE19" s="819">
        <f t="shared" si="7"/>
        <v>0</v>
      </c>
      <c r="BF19" s="829">
        <f t="shared" si="7"/>
        <v>0</v>
      </c>
      <c r="BG19" s="914">
        <f>IF(ISNUMBER(Datos!K19/Datos!J19),Datos!K19/Datos!J19," - ")</f>
        <v>1.0299823633156966</v>
      </c>
      <c r="BH19" s="914">
        <f>IF(ISNUMBER(((Datos!L19/Datos!K19)*11)/factor_trimestre),((Datos!L19/Datos!K19)*11)/factor_trimestre," - ")</f>
        <v>4.6712328767123283</v>
      </c>
      <c r="BI19" s="812">
        <f>IF(ISNUMBER(Datos!J19/Datos!I19),Datos!J19/Datos!I19," - ")</f>
        <v>2.3723849372384938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-3.1717171717171717</v>
      </c>
      <c r="BM19" s="888">
        <f>IF(ISNUMBER((Datos!P19-Datos!Q19+R19)/(Datos!R19-Datos!P19+Datos!Q19-R19)),(Datos!P19-Datos!Q19+R19)/(Datos!R19-Datos!P19+Datos!Q19-R19)," - ")</f>
        <v>8.9126559714795009E-2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57.157676649772952</v>
      </c>
      <c r="G21" s="551">
        <f>IF(ISNUMBER(STDEV(G8:G18)),STDEV(G8:G18),"-")</f>
        <v>40.290197318950923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164.90845945554156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29.964423349476736</v>
      </c>
      <c r="BD21" s="550"/>
      <c r="BE21" s="550">
        <f>IF(ISNUMBER(STDEV(BE8:BE18)),STDEV(BE8:BE18),"-")</f>
        <v>0</v>
      </c>
      <c r="BF21" s="555">
        <f>IF(ISNUMBER(STDEV(BF8:BF18)),STDEV(BF8:BF18),"-")</f>
        <v>0</v>
      </c>
      <c r="BG21" s="774">
        <f>IF(ISNUMBER(STDEV(BG8:BG18)),STDEV(BG8:BG18),"-")</f>
        <v>0.10469677973073384</v>
      </c>
      <c r="BH21" s="775">
        <f>IF(ISNUMBER(STDEV(BH8:BH18)),STDEV(BH8:BH18),"-")</f>
        <v>1.46425863635118</v>
      </c>
      <c r="BI21" s="248">
        <f>IF(ISNUMBER(STDEV(BI8:BI18)),STDEV(BI8:BI18),"-")</f>
        <v>9.6758667599004214E-2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Srd+2JyqrB5RjMjA/+1VB86VmJOY9ybkiRCa0eVZnJ0oMEKF7BGGsPVi8lNulCA442E9Zm9SQUr9wBl5FMdFg==" saltValue="NBfRS4NyocYtUhmBcivi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ALCARAZ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v>
      </c>
      <c r="AA12" s="331" t="str">
        <f>IF(ISNUMBER(IF(J_V="SI",Datos!L12,Datos!L12+Datos!AB12)-IF(Monitorios="SI",Datos!CD12,0)),
                          IF(J_V="SI",Datos!L12,Datos!L12+Datos!AB12)-IF(Monitorios="SI",Datos!CD12,0),
                          " - ")</f>
        <v xml:space="preserve"> - </v>
      </c>
      <c r="AB12" s="333"/>
      <c r="AC12" s="333"/>
      <c r="AD12" s="483"/>
      <c r="AE12" s="483">
        <f>IF(ISNUMBER(Datos!R12),Datos!R12," - ")</f>
        <v>595</v>
      </c>
      <c r="AF12" s="228" t="str">
        <f>IF(ISNUMBER(Datos!BV12),Datos!BV12," - ")</f>
        <v xml:space="preserve"> - </v>
      </c>
      <c r="AG12" s="224" t="str">
        <f>IF(ISNUMBER(Datos!DV12),Datos!DV12," - ")</f>
        <v xml:space="preserve"> - </v>
      </c>
      <c r="AH12" s="297"/>
      <c r="AI12" s="226"/>
      <c r="AJ12" s="224">
        <f>IF(ISNUMBER(Datos!M12),Datos!M12," - ")</f>
        <v>66</v>
      </c>
      <c r="AK12" s="228">
        <f>IF(ISNUMBER(Datos!N12),Datos!N12," - ")</f>
        <v>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6.0769230769230766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8.3788706739526417E-2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39</v>
      </c>
      <c r="AA13" s="899">
        <f t="shared" si="2"/>
        <v>0</v>
      </c>
      <c r="AB13" s="899">
        <f t="shared" si="2"/>
        <v>0</v>
      </c>
      <c r="AC13" s="899">
        <f t="shared" si="2"/>
        <v>0</v>
      </c>
      <c r="AD13" s="899">
        <f t="shared" si="2"/>
        <v>0</v>
      </c>
      <c r="AE13" s="899">
        <f t="shared" si="2"/>
        <v>595</v>
      </c>
      <c r="AF13" s="907">
        <f t="shared" si="2"/>
        <v>0</v>
      </c>
      <c r="AG13" s="907">
        <f t="shared" si="2"/>
        <v>0</v>
      </c>
      <c r="AH13" s="907">
        <f t="shared" si="2"/>
        <v>0</v>
      </c>
      <c r="AI13" s="907">
        <f t="shared" si="2"/>
        <v>0</v>
      </c>
      <c r="AJ13" s="907">
        <f t="shared" si="2"/>
        <v>66</v>
      </c>
      <c r="AK13" s="907">
        <f t="shared" si="2"/>
        <v>140</v>
      </c>
      <c r="AL13" s="907">
        <f t="shared" si="2"/>
        <v>0</v>
      </c>
      <c r="AM13" s="907">
        <f t="shared" si="2"/>
        <v>0</v>
      </c>
      <c r="AN13" s="907">
        <f t="shared" si="2"/>
        <v>0</v>
      </c>
      <c r="AO13" s="903">
        <f>IF(ISNUMBER(((NºAsuntos!I13/NºAsuntos!G13)*11)/factor_trimestre),((NºAsuntos!I13/NºAsuntos!G13)*11)/factor_trimestre," - ")</f>
        <v>6.0769230769230766</v>
      </c>
      <c r="AP13" s="909" t="str">
        <f>IF(ISNUMBER(Datos!CI13/Datos!CJ13),Datos!CI13/Datos!CJ13," - ")</f>
        <v xml:space="preserve"> - </v>
      </c>
      <c r="AQ13" s="927">
        <f t="shared" ref="AQ13:AV13" si="3">SUBTOTAL(9,AQ9:AQ12)</f>
        <v>0</v>
      </c>
      <c r="AR13" s="927">
        <f t="shared" si="3"/>
        <v>8.3788706739526417E-2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99</v>
      </c>
      <c r="G16" s="224">
        <f>IF(ISNUMBER(IF(D_I="SI",Datos!I16,Datos!I16+Datos!AC16)),IF(D_I="SI",Datos!I16,Datos!I16+Datos!AC16)," - ")</f>
        <v>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298</v>
      </c>
      <c r="Z16" s="618">
        <f>IF(ISNUMBER(Datos!Q16),Datos!Q16," - ")</f>
        <v>4</v>
      </c>
      <c r="AA16" s="331">
        <f>IF(ISNUMBER(IF(D_I="SI",Datos!L16,Datos!L16+Datos!AF16)),IF(D_I="SI",Datos!L16,Datos!L16+Datos!AF16)," - ")</f>
        <v>87</v>
      </c>
      <c r="AB16" s="333"/>
      <c r="AC16" s="333"/>
      <c r="AD16" s="483"/>
      <c r="AE16" s="483">
        <f>IF(ISNUMBER(Datos!R16),Datos!R16," - ")</f>
        <v>16</v>
      </c>
      <c r="AF16" s="228" t="str">
        <f>IF(ISNUMBER(Datos!BV16),Datos!BV16," - ")</f>
        <v xml:space="preserve"> - </v>
      </c>
      <c r="AG16" s="224"/>
      <c r="AH16" s="297"/>
      <c r="AI16" s="226"/>
      <c r="AJ16" s="224">
        <f>IF(ISNUMBER(Datos!M16),Datos!M16," - ")</f>
        <v>23</v>
      </c>
      <c r="AK16" s="228">
        <f>IF(ISNUMBER(Datos!N16),Datos!N16," - ")</f>
        <v>193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3.2114093959731544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99</v>
      </c>
      <c r="G18" s="897">
        <f>SUBTOTAL(9,G15:G17)</f>
        <v>76</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314</v>
      </c>
      <c r="Z18" s="931">
        <f t="shared" si="5"/>
        <v>4</v>
      </c>
      <c r="AA18" s="931">
        <f t="shared" si="5"/>
        <v>94</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23</v>
      </c>
      <c r="AK18" s="931">
        <f t="shared" si="5"/>
        <v>206</v>
      </c>
      <c r="AL18" s="931">
        <f t="shared" si="5"/>
        <v>0</v>
      </c>
      <c r="AM18" s="931">
        <f t="shared" si="5"/>
        <v>0</v>
      </c>
      <c r="AN18" s="931">
        <f t="shared" si="5"/>
        <v>0</v>
      </c>
      <c r="AO18" s="933">
        <f>IF(ISNUMBER(((NºAsuntos!I18/NºAsuntos!G18)*11)/factor_trimestre),((NºAsuntos!I18/NºAsuntos!G18)*11)/factor_trimestre," - ")</f>
        <v>3.2929936305732483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99</v>
      </c>
      <c r="G19" s="819">
        <f t="shared" si="7"/>
        <v>76</v>
      </c>
      <c r="H19" s="820">
        <f t="shared" si="7"/>
        <v>0</v>
      </c>
      <c r="I19" s="819">
        <f t="shared" si="7"/>
        <v>0</v>
      </c>
      <c r="J19" s="821">
        <f t="shared" si="7"/>
        <v>0</v>
      </c>
      <c r="K19" s="819">
        <f t="shared" si="7"/>
        <v>0</v>
      </c>
      <c r="L19" s="822">
        <f t="shared" si="7"/>
        <v>0</v>
      </c>
      <c r="M19" s="819">
        <f t="shared" si="7"/>
        <v>0</v>
      </c>
      <c r="N19" s="820">
        <f t="shared" si="7"/>
        <v>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314</v>
      </c>
      <c r="Z19" s="826">
        <f t="shared" si="8"/>
        <v>43</v>
      </c>
      <c r="AA19" s="827">
        <f t="shared" si="8"/>
        <v>94</v>
      </c>
      <c r="AB19" s="827">
        <f t="shared" si="8"/>
        <v>0</v>
      </c>
      <c r="AC19" s="827">
        <f t="shared" si="8"/>
        <v>0</v>
      </c>
      <c r="AD19" s="828">
        <f t="shared" si="8"/>
        <v>0</v>
      </c>
      <c r="AE19" s="828">
        <f t="shared" si="8"/>
        <v>611</v>
      </c>
      <c r="AF19" s="829">
        <f t="shared" si="8"/>
        <v>0</v>
      </c>
      <c r="AG19" s="830">
        <f t="shared" si="8"/>
        <v>0</v>
      </c>
      <c r="AH19" s="831">
        <f t="shared" si="8"/>
        <v>0</v>
      </c>
      <c r="AI19" s="829">
        <f t="shared" si="8"/>
        <v>0</v>
      </c>
      <c r="AJ19" s="819">
        <f t="shared" si="8"/>
        <v>89</v>
      </c>
      <c r="AK19" s="819">
        <f t="shared" si="8"/>
        <v>346</v>
      </c>
      <c r="AL19" s="819">
        <f t="shared" si="8"/>
        <v>0</v>
      </c>
      <c r="AM19" s="832">
        <f t="shared" si="8"/>
        <v>0</v>
      </c>
      <c r="AN19" s="822">
        <f>IF(ISNUMBER(Datos!K19/Datos!J19),Datos!K19/Datos!J19," - ")</f>
        <v>1.0299823633156966</v>
      </c>
      <c r="AO19" s="822">
        <f>IF(ISNUMBER(FIND("06",Criterios!A8,1)),(IF(ISNUMBER(((Datos!R19/Datos!Q19)*11)/factor_trimestre),((Datos!R19/Datos!Q19)*11)/factor_trimestre," - ")),(IF(ISNUMBER(((Datos!L19/Datos!K19)*11)/factor_trimestre),((Datos!L19/Datos!K19)*11)/factor_trimestre," - ")))</f>
        <v>4.6712328767123283</v>
      </c>
      <c r="AP19" s="833" t="str">
        <f>IF(ISNUMBER(Datos!CI19/Datos!CJ19),Datos!CI19/Datos!CJ19," - ")</f>
        <v xml:space="preserve"> - </v>
      </c>
      <c r="AQ19" s="833">
        <f>IF(OR(ISNUMBER(FIND("01",Criterios!A8,1)),ISNUMBER(FIND("02",Criterios!A8,1)),ISNUMBER(FIND("03",Criterios!A8,1)),ISNUMBER(FIND("04",Criterios!A8,1))),(J19-Y19+K19)/(F19-K19),(I19-Y19+K19)/(F19-K19))</f>
        <v>-3.1717171717171717</v>
      </c>
      <c r="AR19" s="833">
        <f>IF(ISNUMBER((Datos!P19-Datos!Q19+O19)/(Datos!R19-Datos!P19+Datos!Q19-O19)),(Datos!P19-Datos!Q19+O19)/(Datos!R19-Datos!P19+Datos!Q19-O19)," - ")</f>
        <v>8.9126559714795009E-2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57.157676649772952</v>
      </c>
      <c r="G21" s="551">
        <f>IF(ISNUMBER(STDEV(G8:G18)),STDEV(G8:G18),"-")</f>
        <v>40.290197318950923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29.964423349476736</v>
      </c>
      <c r="AK21" s="251"/>
      <c r="AL21" s="251">
        <f>IF(ISNUMBER(STDEV(AL8:AL18)),STDEV(AL8:AL18),"-")</f>
        <v>0</v>
      </c>
      <c r="AM21" s="253">
        <f>IF(ISNUMBER(STDEV(AM8:AM18)),STDEV(AM8:AM18),"-")</f>
        <v>0</v>
      </c>
      <c r="AN21" s="538">
        <f>IF(ISNUMBER(STDEV(AN8:AN18)),STDEV(AN8:AN18),"-")</f>
        <v>0</v>
      </c>
      <c r="AO21" s="539">
        <f>IF(ISNUMBER(STDEV(AO8:AO18)),STDEV(AO8:AO18),"-")</f>
        <v>1.4142036944373948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xwdKRdoXvZ7tIBSYo38ugYWJPwoWBrtgHUSvjbwkHzKCm+tKRcnf601yxznT3NFZ6lwk3R2C/mCWsZEjdo+pw==" saltValue="sDWP7XBjg5hItQ73zYYv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uXs+7bc8MDJoAYfxQ/xBPjyjX7kbETlgoz2zGJMLdOYaKC/n4j6uCRAbK+GyyRG9EpVqZ2/f2zUhbUfYIrnCg==" saltValue="tfcT3O9mXm2nhX6ry4e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XxWG9tumiI3Ti8RCIb9YzWWNxIPIBs7x9odGOpLKBcwmACvJgzDSuG4LwRV9da5vtGcfO4kOSgiACPhZUFbQ==" saltValue="nquBRe5WEDUulYM3IESd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ALCARAZ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0.23076923076923078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0.16317848796612636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JozTkkfAkVZh0ciW8OKkmMESc7aDXgkaNPB2ZmaCWsAR9hPdZz6vPUg3Cwytb9+YCVf2CL7qRYG7ZlvYusqQ==" saltValue="EnxUmRRRdObESzAvuMKO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XFlr74Eav9/nL63NJH+7oJIMQc3m7FYxpmTEYG5Vj0ioQ5IoUc5pHRKjJQRsEKCfylFe8jx1EpGqw63KiMuXg==" saltValue="Lg4ArKXC0dRtnRmsmqJm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ALCARAZ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167</v>
      </c>
      <c r="D12" s="403">
        <f>IF(ISNUMBER(C12/Datos!BH12),C12/Datos!BH12," - ")</f>
        <v>167</v>
      </c>
      <c r="E12" s="402">
        <f>IF(ISNUMBER(IF(J_V="SI",Datos!J12,Datos!J12+Datos!Z12)),IF(J_V="SI",Datos!J12,Datos!J12+Datos!Z12)," - ")</f>
        <v>277</v>
      </c>
      <c r="F12" s="403">
        <f>IF(ISNUMBER(E12/B12),E12/B12," - ")</f>
        <v>277</v>
      </c>
      <c r="G12" s="402">
        <f>IF(ISNUMBER(IF(J_V="SI",Datos!K12,Datos!K12+Datos!AA12)),IF(J_V="SI",Datos!K12,Datos!K12+Datos!AA12)," - ")</f>
        <v>286</v>
      </c>
      <c r="H12" s="403">
        <f>IF(ISNUMBER(G12/B12),G12/B12," - ")</f>
        <v>286</v>
      </c>
      <c r="I12" s="402">
        <f>IF(ISNUMBER(IF(J_V="SI",Datos!L12,Datos!L12+Datos!AB12)),IF(J_V="SI",Datos!L12,Datos!L12+Datos!AB12)," - ")</f>
        <v>158</v>
      </c>
      <c r="J12" s="403">
        <f>IF(ISNUMBER(I12/B12),I12/B12," - ")</f>
        <v>158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167</v>
      </c>
      <c r="D13" s="849" t="str">
        <f>IF(ISNUMBER(C13/Datos!BI13),C13/Datos!BI13," - ")</f>
        <v xml:space="preserve"> - </v>
      </c>
      <c r="E13" s="848">
        <f>SUBTOTAL(9,E8:E12)</f>
        <v>277</v>
      </c>
      <c r="F13" s="849">
        <f>IF(ISNUMBER(E13/B13),E13/B13," - ")</f>
        <v>277</v>
      </c>
      <c r="G13" s="848">
        <f>SUBTOTAL(9,G8:G12)</f>
        <v>286</v>
      </c>
      <c r="H13" s="849">
        <f>IF(ISNUMBER(G13/B13),G13/B13," - ")</f>
        <v>286</v>
      </c>
      <c r="I13" s="848">
        <f>SUBTOTAL(9,I8:I12)</f>
        <v>158</v>
      </c>
      <c r="J13" s="849">
        <f>IF(ISNUMBER(I13/B13),I13/B13," - ")</f>
        <v>158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73</v>
      </c>
      <c r="D16" s="403">
        <f>IF(ISNUMBER(C16/Datos!BH16),C16/Datos!BH16," - ")</f>
        <v>73</v>
      </c>
      <c r="E16" s="402">
        <f>IF(ISNUMBER(IF(D_I="SI",Datos!J16,Datos!J16+Datos!AD16)),IF(D_I="SI",Datos!J16,Datos!J16+Datos!AD16)," - ")</f>
        <v>286</v>
      </c>
      <c r="F16" s="403">
        <f>IF(ISNUMBER(E16/B16),E16/B16," - ")</f>
        <v>286</v>
      </c>
      <c r="G16" s="402">
        <f>IF(ISNUMBER(IF(D_I="SI",Datos!K16,Datos!K16+Datos!AE16)),IF(D_I="SI",Datos!K16,Datos!K16+Datos!AE16)," - ")</f>
        <v>298</v>
      </c>
      <c r="H16" s="403">
        <f>IF(ISNUMBER(G16/B16),G16/B16," - ")</f>
        <v>298</v>
      </c>
      <c r="I16" s="402">
        <f>IF(ISNUMBER(IF(D_I="SI",Datos!L16,Datos!L16+Datos!AF16)),IF(D_I="SI",Datos!L16,Datos!L16+Datos!AF16)," - ")</f>
        <v>87</v>
      </c>
      <c r="J16" s="403">
        <f>IF(ISNUMBER(I16/B16),I16/B16," - ")</f>
        <v>87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20</v>
      </c>
      <c r="F17" s="403">
        <f>IF(ISNUMBER(E17/B17),E17/B17," - ")</f>
        <v>20</v>
      </c>
      <c r="G17" s="402">
        <f>IF(ISNUMBER(IF(D_I="SI",Datos!K17,Datos!K17+Datos!AE17)),IF(D_I="SI",Datos!K17,Datos!K17+Datos!AE17)," - ")</f>
        <v>16</v>
      </c>
      <c r="H17" s="403">
        <f>IF(ISNUMBER(G17/B17),G17/B17," - ")</f>
        <v>16</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76</v>
      </c>
      <c r="D18" s="849" t="str">
        <f>IF(ISNUMBER(C18/Datos!BI18),C18/Datos!BI18," - ")</f>
        <v xml:space="preserve"> - </v>
      </c>
      <c r="E18" s="848">
        <f>SUBTOTAL(9,E14:E17)</f>
        <v>306</v>
      </c>
      <c r="F18" s="849">
        <f>IF(ISNUMBER(E18/B18),E18/B18," - ")</f>
        <v>306</v>
      </c>
      <c r="G18" s="848">
        <f>SUBTOTAL(9,G14:G17)</f>
        <v>314</v>
      </c>
      <c r="H18" s="849">
        <f>IF(ISNUMBER(G18/B18),G18/B18," - ")</f>
        <v>314</v>
      </c>
      <c r="I18" s="848">
        <f>SUBTOTAL(9,I14:I17)</f>
        <v>94</v>
      </c>
      <c r="J18" s="849">
        <f>IF(ISNUMBER(I18/B18),I18/B18," - ")</f>
        <v>94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243</v>
      </c>
      <c r="D19" s="794" t="str">
        <f>IF(ISNUMBER(C19/Datos!BI19),C19/Datos!BI19," - ")</f>
        <v xml:space="preserve"> - </v>
      </c>
      <c r="E19" s="793">
        <f>SUBTOTAL(9,E9:E18)</f>
        <v>583</v>
      </c>
      <c r="F19" s="794">
        <f>IF(ISNUMBER(E19/B19),E19/B19," - ")</f>
        <v>583</v>
      </c>
      <c r="G19" s="793">
        <f>SUBTOTAL(9,G9:G18)</f>
        <v>600</v>
      </c>
      <c r="H19" s="794">
        <f>IF(ISNUMBER(G19/B19),G19/B19," - ")</f>
        <v>600</v>
      </c>
      <c r="I19" s="793">
        <f>SUBTOTAL(9,I9:I18)</f>
        <v>252</v>
      </c>
      <c r="J19" s="794">
        <f>IF(ISNUMBER(I19/B19),I19/B19," - ")</f>
        <v>252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JP/4pEcT+jqyFufEx1uKLfw+ydla/bO0NACnjIIhZ1eRUNMCVM3cC34Erj2yMUAi6bKsu9j/yVgovoauTbrgg==" saltValue="KV7yFp92JaI80cdt8SA/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ALCARAZ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66</v>
      </c>
      <c r="AM12" s="689">
        <f>IF(ISNUMBER(Datos!N12+DatosP!N16),Datos!N12+DatosP!N16," - ")</f>
        <v>140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6.0769230769230766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8.3788706739526417E-2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39</v>
      </c>
      <c r="AE13" s="938">
        <f t="shared" si="1"/>
        <v>0</v>
      </c>
      <c r="AF13" s="938">
        <f t="shared" si="1"/>
        <v>0</v>
      </c>
      <c r="AG13" s="938">
        <f t="shared" si="1"/>
        <v>0</v>
      </c>
      <c r="AH13" s="938">
        <f t="shared" si="1"/>
        <v>595</v>
      </c>
      <c r="AI13" s="938">
        <f t="shared" si="1"/>
        <v>0</v>
      </c>
      <c r="AJ13" s="938">
        <f t="shared" si="1"/>
        <v>0</v>
      </c>
      <c r="AK13" s="938">
        <f t="shared" si="1"/>
        <v>0</v>
      </c>
      <c r="AL13" s="938">
        <f t="shared" si="1"/>
        <v>66</v>
      </c>
      <c r="AM13" s="938">
        <f t="shared" si="1"/>
        <v>140</v>
      </c>
      <c r="AN13" s="938">
        <f t="shared" si="1"/>
        <v>0</v>
      </c>
      <c r="AO13" s="938">
        <f t="shared" si="1"/>
        <v>0</v>
      </c>
      <c r="AP13" s="943">
        <f>IF(ISNUMBER(((Datos!L13/Datos!K13)*11)/factor_trimestre),((Datos!L13/Datos!K13)*11)/factor_trimestre," - ")</f>
        <v>6.2740740740740746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8.3788706739526417E-2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3.2929936305732483</v>
      </c>
      <c r="AQ18" s="943">
        <f>IF(ISNUMBER(((Datos!M18/Datos!L18)*11)/factor_trimestre),((Datos!M18/Datos!L18)*11)/factor_trimestre," - ")</f>
        <v>2.6914893617021276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-0.12121212121212122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39</v>
      </c>
      <c r="AE19" s="956">
        <f t="shared" si="5"/>
        <v>0</v>
      </c>
      <c r="AF19" s="957">
        <f t="shared" si="5"/>
        <v>0</v>
      </c>
      <c r="AG19" s="957">
        <f t="shared" si="5"/>
        <v>0</v>
      </c>
      <c r="AH19" s="957">
        <f t="shared" si="5"/>
        <v>595</v>
      </c>
      <c r="AI19" s="957">
        <f t="shared" si="5"/>
        <v>0</v>
      </c>
      <c r="AJ19" s="958">
        <f t="shared" si="5"/>
        <v>0</v>
      </c>
      <c r="AK19" s="958">
        <f t="shared" si="5"/>
        <v>0</v>
      </c>
      <c r="AL19" s="950">
        <f t="shared" si="5"/>
        <v>66</v>
      </c>
      <c r="AM19" s="950">
        <f t="shared" si="5"/>
        <v>140</v>
      </c>
      <c r="AN19" s="950">
        <f t="shared" si="5"/>
        <v>0</v>
      </c>
      <c r="AO19" s="950">
        <f t="shared" si="5"/>
        <v>0</v>
      </c>
      <c r="AP19" s="950">
        <f>IF(ISNUMBER(((Datos!L19/Datos!K19)*11)/factor_trimestre),((Datos!L19/Datos!K19)*11)/factor_trimestre," - ")</f>
        <v>4.6712328767123283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8.9126559714795009E-2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38.105117766515299</v>
      </c>
      <c r="AM21" s="735"/>
      <c r="AN21" s="735">
        <f>IF(ISNUMBER(STDEV(AN8:AN18)),STDEV(AN8:AN18),"-")</f>
        <v>0</v>
      </c>
      <c r="AO21" s="741">
        <f>IF(ISNUMBER(STDEV(AO8:AO18)),STDEV(AO8:AO18),"-")</f>
        <v>0</v>
      </c>
      <c r="AP21" s="778">
        <f>IF(ISNUMBER(STDEV(AP8:AP18)),STDEV(AP8:AP18),"-")</f>
        <v>1.6671318828332269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MRT8DraN+WrE5m+5oKH1zH6ipRQRQHxhxoeYok+3Dg3K1j89jgLE2FodXQRt56hR7rBDS/r2kSD3MCEGTTR2A==" saltValue="eNJciRRaEy2IKSpPQYi8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ALCARAZ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6OhsLiqLFcHkUa/Sggj+WmStEJUj+Yq0/DdsoeFWg3trJziuGlAPVmcNMFXDoIf2lROSGrKTDFNAXW3f23F3w==" saltValue="I1ofm5lqVyEo3rIKohjt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ALCARAZ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66</v>
      </c>
      <c r="E12" s="403">
        <f t="shared" si="0"/>
        <v>66</v>
      </c>
      <c r="F12" s="402">
        <f>IF(ISNUMBER(Datos!N12),Datos!N12," - ")</f>
        <v>140</v>
      </c>
      <c r="G12" s="403">
        <f t="shared" si="1"/>
        <v>140</v>
      </c>
      <c r="H12" s="402">
        <f>IF(ISNUMBER(Datos!O12),Datos!O12," - ")</f>
        <v>111</v>
      </c>
      <c r="I12" s="403">
        <f t="shared" si="2"/>
        <v>111</v>
      </c>
      <c r="BZ12" s="1185">
        <f>Datos!EZ12</f>
        <v>0</v>
      </c>
    </row>
    <row r="13" spans="1:78" ht="14.25" thickTop="1" thickBot="1">
      <c r="A13" s="847" t="str">
        <f>Datos!A13</f>
        <v>TOTAL</v>
      </c>
      <c r="B13" s="848">
        <f>Datos!AP13</f>
        <v>1</v>
      </c>
      <c r="C13" s="850">
        <f>Datos!AR13</f>
        <v>1</v>
      </c>
      <c r="D13" s="848">
        <f>SUBTOTAL(9,D9:D12)</f>
        <v>66</v>
      </c>
      <c r="E13" s="849">
        <f t="shared" si="0"/>
        <v>66</v>
      </c>
      <c r="F13" s="848">
        <f>SUBTOTAL(9,F9:F12)</f>
        <v>140</v>
      </c>
      <c r="G13" s="849">
        <f t="shared" si="1"/>
        <v>140</v>
      </c>
      <c r="H13" s="848">
        <f>SUBTOTAL(9,H9:H12)</f>
        <v>111</v>
      </c>
      <c r="I13" s="849">
        <f>IF(ISNUMBER(H13/B13),H13/B13," - ")</f>
        <v>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23</v>
      </c>
      <c r="E16" s="403">
        <f t="shared" si="3"/>
        <v>23</v>
      </c>
      <c r="F16" s="402">
        <f>IF(ISNUMBER(Datos!N16),Datos!N16," - ")</f>
        <v>193</v>
      </c>
      <c r="G16" s="403">
        <f t="shared" si="4"/>
        <v>193</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23</v>
      </c>
      <c r="E18" s="849">
        <f t="shared" si="3"/>
        <v>23</v>
      </c>
      <c r="F18" s="848">
        <f>SUBTOTAL(9,F15:F17)</f>
        <v>206</v>
      </c>
      <c r="G18" s="849">
        <f t="shared" si="4"/>
        <v>206</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89</v>
      </c>
      <c r="E19" s="794">
        <f>IF(ISNUMBER(D19/B19),D19/B19," - ")</f>
        <v>89</v>
      </c>
      <c r="F19" s="793">
        <f>SUBTOTAL(9,F8:F18)</f>
        <v>346</v>
      </c>
      <c r="G19" s="794">
        <f>IF(ISNUMBER(F19/B19),F19/B19," - ")</f>
        <v>346</v>
      </c>
      <c r="H19" s="793">
        <f>SUBTOTAL(9,H8:H18)</f>
        <v>114</v>
      </c>
      <c r="I19" s="794">
        <f>IF(ISNUMBER(H19/B19),H19/B19," - ")</f>
        <v>114</v>
      </c>
    </row>
    <row r="22" spans="1:78">
      <c r="A22" s="390" t="str">
        <f>Criterios!A4</f>
        <v>Fecha Informe: 18 mar. 2026</v>
      </c>
    </row>
    <row r="27" spans="1:78">
      <c r="A27" s="413"/>
    </row>
  </sheetData>
  <sheetProtection algorithmName="SHA-512" hashValue="QZpP+mQJN9S8h5YxGIvJDYUv3wA2w1AWna/YvT6o4WPgj6juGzQWCd9fWo4WtG3g7AK6gbBni2mkNisc9dRaAQ==" saltValue="RpeeJJGUDQL94P1oAgEq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ALCARAZ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v>
      </c>
      <c r="C12" s="433">
        <f>IF(ISNUMBER(Datos!Q12),Datos!Q12," - ")</f>
        <v>39</v>
      </c>
      <c r="D12" s="407">
        <f>IF(ISNUMBER(Datos!R12),Datos!R12," - ")</f>
        <v>595</v>
      </c>
    </row>
    <row r="13" spans="1:4" ht="14.25" thickTop="1" thickBot="1">
      <c r="A13" s="847" t="str">
        <f>Datos!A13</f>
        <v>TOTAL</v>
      </c>
      <c r="B13" s="848">
        <f>SUBTOTAL(9,B9:B12)</f>
        <v>85</v>
      </c>
      <c r="C13" s="852">
        <f>SUBTOTAL(9,C9:C12)</f>
        <v>39</v>
      </c>
      <c r="D13" s="850">
        <f>SUBTOTAL(9,D9:D12)</f>
        <v>595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4</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4</v>
      </c>
      <c r="D18" s="850">
        <f>SUBTOTAL(9,D15:D17)</f>
        <v>16</v>
      </c>
    </row>
    <row r="19" spans="1:4" ht="16.5" customHeight="1" thickTop="1" thickBot="1">
      <c r="A19" s="792" t="str">
        <f>Datos!A19</f>
        <v>TOTAL JURISDICCIONES</v>
      </c>
      <c r="B19" s="797">
        <f>SUBTOTAL(9,B8:B18)</f>
        <v>93</v>
      </c>
      <c r="C19" s="798">
        <f>SUBTOTAL(9,C8:C18)</f>
        <v>43</v>
      </c>
      <c r="D19" s="799">
        <f>SUBTOTAL(9,D8:D18)</f>
        <v>611</v>
      </c>
    </row>
    <row r="20" spans="1:4" ht="7.5" customHeight="1"/>
    <row r="21" spans="1:4" ht="6" customHeight="1"/>
    <row r="22" spans="1:4">
      <c r="A22" s="390" t="str">
        <f>Criterios!A4</f>
        <v>Fecha Informe: 18 mar. 2026</v>
      </c>
    </row>
    <row r="27" spans="1:4">
      <c r="A27" s="413"/>
    </row>
  </sheetData>
  <sheetProtection algorithmName="SHA-512" hashValue="o811OSnGFR+eIbFTIrBtRJGY8HKPc2OW8dKjEE8tx5lJU9Uk1xQ7BbXJwbNpMVrB5L+f0Av0lwQy/MG3DBDjWg==" saltValue="yxVytdGz0kFhnSqmPdXA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ALCARAZ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0.14383561643835616</v>
      </c>
      <c r="C12" s="455">
        <f>IF(ISNUMBER(
   IF(J_V="SI",(Datos!J12-Datos!T12)/Datos!T12,(Datos!J12+Datos!Z12-(Datos!T12+Datos!AH12))/(Datos!T12+Datos!AH12))
     ),IF(J_V="SI",(Datos!J12-Datos!T12)/Datos!T12,(Datos!J12+Datos!Z12-(Datos!T12+Datos!AH12))/(Datos!T12+Datos!AH12))," - ")</f>
        <v>-0.13437499999999999</v>
      </c>
      <c r="D12" s="455">
        <f>IF(ISNUMBER(
   IF(J_V="SI",(Datos!K12-Datos!U12)/Datos!U12,(Datos!K12+Datos!AA12-(Datos!U12+Datos!AI12))/(Datos!U12+Datos!AI12))
     ),IF(J_V="SI",(Datos!K12-Datos!U12)/Datos!U12,(Datos!K12+Datos!AA12-(Datos!U12+Datos!AI12))/(Datos!U12+Datos!AI12))," - ")</f>
        <v>-3.3783783783783786E-2</v>
      </c>
      <c r="E12" s="455">
        <f>IF(ISNUMBER(
   IF(J_V="SI",(Datos!L12-Datos!V12)/Datos!V12,(Datos!L12+Datos!AB12-(Datos!V12+Datos!AJ12))/(Datos!V12+Datos!AJ12))
     ),IF(J_V="SI",(Datos!L12-Datos!V12)/Datos!V12,(Datos!L12+Datos!AB12-(Datos!V12+Datos!AJ12))/(Datos!V12+Datos!AJ12))," - ")</f>
        <v>-5.3892215568862277E-2</v>
      </c>
      <c r="F12" s="455">
        <f>IF(ISNUMBER((Datos!M12-Datos!W12)/Datos!W12),(Datos!M12-Datos!W12)/Datos!W12," - ")</f>
        <v>-0.1951219512195122</v>
      </c>
      <c r="G12" s="456">
        <f>IF(ISNUMBER((Datos!N12-Datos!X12)/Datos!X12),(Datos!N12-Datos!X12)/Datos!X12," - ")</f>
        <v>-6.6666666666666666E-2</v>
      </c>
      <c r="H12" s="454">
        <f>IF(ISNUMBER(((NºAsuntos!G12/NºAsuntos!E12)-Datos!BD12)/Datos!BD12),((NºAsuntos!G12/NºAsuntos!E12)-Datos!BD12)/Datos!BD12," - ")</f>
        <v>0.11620645916674795</v>
      </c>
      <c r="I12" s="455">
        <f>IF(ISNUMBER(((NºAsuntos!I12/NºAsuntos!G12)-Datos!BE12)/Datos!BE12),((NºAsuntos!I12/NºAsuntos!G12)-Datos!BE12)/Datos!BE12," - ")</f>
        <v>-2.08115238055358E-2</v>
      </c>
      <c r="J12" s="460">
        <f>IF(ISNUMBER((('Resol  Asuntos'!D12/NºAsuntos!G12)-Datos!BF12)/Datos!BF12),(('Resol  Asuntos'!D12/NºAsuntos!G12)-Datos!BF12)/Datos!BF12," - ")</f>
        <v>-0.54461538461538461</v>
      </c>
      <c r="K12" s="461">
        <f>IF(ISNUMBER((((NºAsuntos!C12+NºAsuntos!E12)/NºAsuntos!G12)-Datos!BG12)/Datos!BG12),(((NºAsuntos!C12+NºAsuntos!E12)/NºAsuntos!G12)-Datos!BG12)/Datos!BG12," - ")</f>
        <v>-1.3895975269365804E-2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0.14383561643835616</v>
      </c>
      <c r="C13" s="854">
        <f>IF(ISNUMBER(
   IF(J_V="SI",(Datos!J13-Datos!T13)/Datos!T13,(Datos!J13+Datos!Z13-(Datos!T13+Datos!AH13))/(Datos!T13+Datos!AH13))
     ),IF(J_V="SI",(Datos!J13-Datos!T13)/Datos!T13,(Datos!J13+Datos!Z13-(Datos!T13+Datos!AH13))/(Datos!T13+Datos!AH13))," - ")</f>
        <v>-0.13437499999999999</v>
      </c>
      <c r="D13" s="854">
        <f>IF(ISNUMBER(
   IF(J_V="SI",(Datos!K13-Datos!U13)/Datos!U13,(Datos!K13+Datos!AA13-(Datos!U13+Datos!AI13))/(Datos!U13+Datos!AI13))
     ),IF(J_V="SI",(Datos!K13-Datos!U13)/Datos!U13,(Datos!K13+Datos!AA13-(Datos!U13+Datos!AI13))/(Datos!U13+Datos!AI13))," - ")</f>
        <v>-3.3783783783783786E-2</v>
      </c>
      <c r="E13" s="854">
        <f>IF(ISNUMBER(
   IF(J_V="SI",(Datos!L13-Datos!V13)/Datos!V13,(Datos!L13+Datos!AB13-(Datos!V13+Datos!AJ13))/(Datos!V13+Datos!AJ13))
     ),IF(J_V="SI",(Datos!L13-Datos!V13)/Datos!V13,(Datos!L13+Datos!AB13-(Datos!V13+Datos!AJ13))/(Datos!V13+Datos!AJ13))," - ")</f>
        <v>-5.3892215568862277E-2</v>
      </c>
      <c r="F13" s="855">
        <f>IF(ISNUMBER((Datos!M13-Datos!W13)/Datos!W13),(Datos!M13-Datos!W13)/Datos!W13," - ")</f>
        <v>-0.1951219512195122</v>
      </c>
      <c r="G13" s="856">
        <f>IF(ISNUMBER((Datos!N13-Datos!X13)/Datos!X13),(Datos!N13-Datos!X13)/Datos!X13," - ")</f>
        <v>-6.6666666666666666E-2</v>
      </c>
      <c r="H13" s="856">
        <f>IF(ISNUMBER(((NºAsuntos!G13/NºAsuntos!E13)-Datos!BD13)/Datos!BD13),((NºAsuntos!G13/NºAsuntos!E13)-Datos!BD13)/Datos!BD13," - ")</f>
        <v>0.11620645916674795</v>
      </c>
      <c r="I13" s="856">
        <f>IF(ISNUMBER(((NºAsuntos!I13/NºAsuntos!G13)-Datos!BE13)/Datos!BE13),((NºAsuntos!I13/NºAsuntos!G13)-Datos!BE13)/Datos!BE13," - ")</f>
        <v>-2.08115238055358E-2</v>
      </c>
      <c r="J13" s="856">
        <f>IF(ISNUMBER((('Resol  Asuntos'!D13/NºAsuntos!G13)-Datos!BF13)/Datos!BF13),(('Resol  Asuntos'!D13/NºAsuntos!G13)-Datos!BF13)/Datos!BF13," - ")</f>
        <v>-0.54461538461538461</v>
      </c>
      <c r="K13" s="856">
        <f>IF(ISNUMBER((((NºAsuntos!C13+NºAsuntos!E13)/NºAsuntos!G13)-Datos!BG13)/Datos!BG13),(((NºAsuntos!C13+NºAsuntos!E13)/NºAsuntos!G13)-Datos!BG13)/Datos!BG13," - ")</f>
        <v>-1.3895975269365804E-2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-0.13095238095238096</v>
      </c>
      <c r="C16" s="455">
        <f>IF(ISNUMBER(
   IF(D_I="SI",(Datos!J16-Datos!T16)/Datos!T16,(Datos!J16+Datos!AD16-(Datos!T16+Datos!AL16))/(Datos!T16+Datos!AL16))
     ),IF(D_I="SI",(Datos!J16-Datos!T16)/Datos!T16,(Datos!J16+Datos!AD16-(Datos!T16+Datos!AL16))/(Datos!T16+Datos!AL16))," - ")</f>
        <v>0.10424710424710425</v>
      </c>
      <c r="D16" s="455">
        <f>IF(ISNUMBER(
   IF(D_I="SI",(Datos!K16-Datos!U16)/Datos!U16,(Datos!K16+Datos!AE16-(Datos!U16+Datos!AM16))/(Datos!U16+Datos!AM16))
     ),IF(D_I="SI",(Datos!K16-Datos!U16)/Datos!U16,(Datos!K16+Datos!AE16-(Datos!U16+Datos!AM16))/(Datos!U16+Datos!AM16))," - ")</f>
        <v>9.5588235294117641E-2</v>
      </c>
      <c r="E16" s="455">
        <f>IF(ISNUMBER(
   IF(D_I="SI",(Datos!L16-Datos!V16)/Datos!V16,(Datos!L16+Datos!AF16-(Datos!V16+Datos!AN16))/(Datos!V16+Datos!AN16))
     ),IF(D_I="SI",(Datos!L16-Datos!V16)/Datos!V16,(Datos!L16+Datos!AF16-(Datos!V16+Datos!AN16))/(Datos!V16+Datos!AN16))," - ")</f>
        <v>0.19178082191780821</v>
      </c>
      <c r="F16" s="455">
        <f>IF(ISNUMBER((Datos!M16-Datos!W16)/Datos!W16),(Datos!M16-Datos!W16)/Datos!W16," - ")</f>
        <v>-0.11538461538461539</v>
      </c>
      <c r="G16" s="456">
        <f>IF(ISNUMBER((Datos!N16-Datos!X16)/Datos!X16),(Datos!N16-Datos!X16)/Datos!X16," - ")</f>
        <v>0.13529411764705881</v>
      </c>
      <c r="H16" s="454">
        <f>IF(ISNUMBER(((NºAsuntos!G16/NºAsuntos!E16)-Datos!BD16)/Datos!BD16),((NºAsuntos!G16/NºAsuntos!E16)-Datos!BD16)/Datos!BD16," - ")</f>
        <v>-7.8414232825997424E-3</v>
      </c>
      <c r="I16" s="455">
        <f>IF(ISNUMBER(((NºAsuntos!I16/NºAsuntos!G16)-Datos!BE16)/Datos!BE16),((NºAsuntos!I16/NºAsuntos!G16)-Datos!BE16)/Datos!BE16," - ")</f>
        <v>8.7799944837731111E-2</v>
      </c>
      <c r="J16" s="460">
        <f>IF(ISNUMBER((('Resol  Asuntos'!D16/NºAsuntos!G16)-Datos!BF16)/Datos!BF16),(('Resol  Asuntos'!D16/NºAsuntos!G16)-Datos!BF16)/Datos!BF16," - ")</f>
        <v>-0.19256582343830661</v>
      </c>
      <c r="K16" s="461">
        <f>IF(ISNUMBER((((NºAsuntos!C16+NºAsuntos!E16)/NºAsuntos!G16)-Datos!BG16)/Datos!BG16),(((NºAsuntos!C16+NºAsuntos!E16)/NºAsuntos!G16)-Datos!BG16)/Datos!BG16," - ")</f>
        <v>-4.4670984405267365E-2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-5.8823529411764705E-2</v>
      </c>
      <c r="E17" s="455">
        <f>IF(ISNUMBER(
   IF(D_I="SI",(Datos!L17-Datos!V17)/Datos!V17,(Datos!L17+Datos!AF17-(Datos!V17+Datos!AN17))/(Datos!V17+Datos!AN17))
     ),IF(D_I="SI",(Datos!L17-Datos!V17)/Datos!V17,(Datos!L17+Datos!AF17-(Datos!V17+Datos!AN17))/(Datos!V17+Datos!AN17))," - ")</f>
        <v>1.3333333333333333</v>
      </c>
      <c r="F17" s="455" t="str">
        <f>IF(ISNUMBER((Datos!M17-Datos!W17)/Datos!W17),(Datos!M17-Datos!W17)/Datos!W17," - ")</f>
        <v xml:space="preserve"> - </v>
      </c>
      <c r="G17" s="456">
        <f>IF(ISNUMBER((Datos!N17-Datos!X17)/Datos!X17),(Datos!N17-Datos!X17)/Datos!X17," - ")</f>
        <v>8.3333333333333329E-2</v>
      </c>
      <c r="H17" s="454">
        <f>IF(ISNUMBER(((NºAsuntos!G17/NºAsuntos!E17)-Datos!BD17)/Datos!BD17),((NºAsuntos!G17/NºAsuntos!E17)-Datos!BD17)/Datos!BD17," - ")</f>
        <v>-0.24705882352941172</v>
      </c>
      <c r="I17" s="455">
        <f>IF(ISNUMBER(((NºAsuntos!I17/NºAsuntos!G17)-Datos!BE17)/Datos!BE17),((NºAsuntos!I17/NºAsuntos!G17)-Datos!BE17)/Datos!BE17," - ")</f>
        <v>1.4791666666666663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0.28618421052631576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-0.12643678160919541</v>
      </c>
      <c r="C18" s="854">
        <f>IF(ISNUMBER(
   IF(Criterios!B14="SI",(Datos!J18-Datos!T18)/Datos!T18,(Datos!J18+Datos!AD18-(Datos!T18+Datos!AL18))/(Datos!T18+Datos!AL18))
     ),IF(Criterios!B14="SI",(Datos!J18-Datos!T18)/Datos!T18,(Datos!J18+Datos!AD18-(Datos!T18+Datos!AL18))/(Datos!T18+Datos!AL18))," - ")</f>
        <v>0.11272727272727273</v>
      </c>
      <c r="D18" s="854">
        <f>IF(ISNUMBER(
   IF(Criterios!B14="SI",(Datos!K18-Datos!U18)/Datos!U18,(Datos!K18+Datos!AE18-(Datos!U18+Datos!AM18))/(Datos!U18+Datos!AM18))
     ),IF(Criterios!B14="SI",(Datos!K18-Datos!U18)/Datos!U18,(Datos!K18+Datos!AE18-(Datos!U18+Datos!AM18))/(Datos!U18+Datos!AM18))," - ")</f>
        <v>8.6505190311418678E-2</v>
      </c>
      <c r="E18" s="854">
        <f>IF(ISNUMBER(
   IF(Criterios!B14="SI",(Datos!L18-Datos!V18)/Datos!V18,(Datos!L18+Datos!AF18-(Datos!V18+Datos!AN18))/(Datos!V18+Datos!AN18))
     ),IF(Criterios!B14="SI",(Datos!L18-Datos!V18)/Datos!V18,(Datos!L18+Datos!AF18-(Datos!V18+Datos!AN18))/(Datos!V18+Datos!AN18))," - ")</f>
        <v>0.23684210526315788</v>
      </c>
      <c r="F18" s="855">
        <f>IF(ISNUMBER((Datos!M18-Datos!W18)/Datos!W18),(Datos!M18-Datos!W18)/Datos!W18," - ")</f>
        <v>-0.11538461538461539</v>
      </c>
      <c r="G18" s="856">
        <f>IF(ISNUMBER((Datos!N18-Datos!X18)/Datos!X18),(Datos!N18-Datos!X18)/Datos!X18," - ")</f>
        <v>0.13186813186813187</v>
      </c>
      <c r="H18" s="856">
        <f>IF(ISNUMBER(((NºAsuntos!G18/NºAsuntos!E18)-Datos!BD18)/Datos!BD18),((NºAsuntos!G18/NºAsuntos!E18)-Datos!BD18)/Datos!BD18," - ")</f>
        <v>-2.3565596942352676E-2</v>
      </c>
      <c r="I18" s="856">
        <f>IF(ISNUMBER(((NºAsuntos!I18/NºAsuntos!G18)-Datos!BE18)/Datos!BE18),((NºAsuntos!I18/NºAsuntos!G18)-Datos!BE18)/Datos!BE18," - ")</f>
        <v>0.13836741535367086</v>
      </c>
      <c r="J18" s="856">
        <f>IF(ISNUMBER((('Resol  Asuntos'!D18/NºAsuntos!G18)-Datos!BF18)/Datos!BF18),(('Resol  Asuntos'!D18/NºAsuntos!G18)-Datos!BF18)/Datos!BF18," - ")</f>
        <v>-0.18581577658010787</v>
      </c>
      <c r="K18" s="856">
        <f>IF(ISNUMBER((((NºAsuntos!C18+NºAsuntos!E18)/NºAsuntos!G18)-Datos!BG18)/Datos!BG18),(((NºAsuntos!C18+NºAsuntos!E18)/NºAsuntos!G18)-Datos!BG18)/Datos!BG18," - ")</f>
        <v>-2.8767990991308133E-2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4.2918454935622317E-2</v>
      </c>
      <c r="C19" s="801">
        <f>IF(ISNUMBER(
   IF(J_V="SI",(Datos!J19-Datos!T19)/Datos!T19,(Datos!J19+Datos!Z19-(Datos!T19+Datos!AH19))/(Datos!T19+Datos!AH19))
     ),IF(J_V="SI",(Datos!J19-Datos!T19)/Datos!T19,(Datos!J19+Datos!Z19-(Datos!T19+Datos!AH19))/(Datos!T19+Datos!AH19))," - ")</f>
        <v>-2.0168067226890758E-2</v>
      </c>
      <c r="D19" s="801">
        <f>IF(ISNUMBER(
   IF(J_V="SI",(Datos!K19-Datos!U19)/Datos!U19,(Datos!K19+Datos!AA19-(Datos!U19+Datos!AI19))/(Datos!U19+Datos!AI19))
     ),IF(J_V="SI",(Datos!K19-Datos!U19)/Datos!U19,(Datos!K19+Datos!AA19-(Datos!U19+Datos!AI19))/(Datos!U19+Datos!AI19))," - ")</f>
        <v>2.564102564102564E-2</v>
      </c>
      <c r="E19" s="801">
        <f>IF(ISNUMBER(
   IF(J_V="SI",(Datos!L19-Datos!V19)/Datos!V19,(Datos!L19+Datos!AB19-(Datos!V19+Datos!AJ19))/(Datos!V19+Datos!AJ19))
     ),IF(J_V="SI",(Datos!L19-Datos!V19)/Datos!V19,(Datos!L19+Datos!AB19-(Datos!V19+Datos!AJ19))/(Datos!V19+Datos!AJ19))," - ")</f>
        <v>3.7037037037037035E-2</v>
      </c>
      <c r="F19" s="802">
        <f>IF(ISNUMBER((Datos!M19-Datos!W19)/Datos!W19),(Datos!M19-Datos!W19)/Datos!W19," - ")</f>
        <v>-0.17592592592592593</v>
      </c>
      <c r="G19" s="803">
        <f>IF(ISNUMBER((Datos!N19-Datos!X19)/Datos!X19),(Datos!N19-Datos!X19)/Datos!X19," - ")</f>
        <v>4.2168674698795178E-2</v>
      </c>
      <c r="H19" s="804">
        <f>IF(ISNUMBER((Tasas!B19-Datos!BD19)/Datos!BD19),(Tasas!B19-Datos!BD19)/Datos!BD19," - ")</f>
        <v>4.6751990148216571E-2</v>
      </c>
      <c r="I19" s="805">
        <f>IF(ISNUMBER((Tasas!C19-Datos!BE19)/Datos!BE19),(Tasas!C19-Datos!BE19)/Datos!BE19," - ")</f>
        <v>1.1111111111111018E-2</v>
      </c>
      <c r="J19" s="806">
        <f>IF(ISNUMBER((Tasas!D19-Datos!BF19)/Datos!BF19),(Tasas!D19-Datos!BF19)/Datos!BF19," - ")</f>
        <v>-0.50696022727272716</v>
      </c>
      <c r="K19" s="806">
        <f>IF(ISNUMBER((Tasas!E19-Datos!BG19)/Datos!BG19),(Tasas!E19-Datos!BG19)/Datos!BG19," - ")</f>
        <v>-2.7355072463768143E-2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m55k5nKTGudvwPH3NLC0MRwQIG7oXJBTjaQTWwaSfVLbaBNd1GeU4aWXy1ay/2g4t03JmyAmLUj06CLR2FEaQ==" saltValue="OMAqt2Z9iNNXc+zVC5Hg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ALCARAZ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1.0324909747292419</v>
      </c>
      <c r="C12" s="442">
        <f>IF(ISNUMBER(NºAsuntos!I12/NºAsuntos!G12),NºAsuntos!I12/NºAsuntos!G12," - ")</f>
        <v>0.55244755244755239</v>
      </c>
      <c r="D12" s="443">
        <f>IF(ISNUMBER('Resol  Asuntos'!D12/NºAsuntos!G12),'Resol  Asuntos'!D12/NºAsuntos!G12," - ")</f>
        <v>0.23076923076923078</v>
      </c>
      <c r="E12" s="444">
        <f>IF(ISNUMBER((NºAsuntos!C12+NºAsuntos!E12)/NºAsuntos!G12),(NºAsuntos!C12+NºAsuntos!E12)/NºAsuntos!G12," - ")</f>
        <v>1.5524475524475525</v>
      </c>
      <c r="G12" s="462"/>
    </row>
    <row r="13" spans="1:7" ht="14.25" thickTop="1" thickBot="1">
      <c r="A13" s="847" t="str">
        <f>Datos!A13</f>
        <v>TOTAL</v>
      </c>
      <c r="B13" s="857">
        <f>IF(ISNUMBER(NºAsuntos!G13/NºAsuntos!E13),NºAsuntos!G13/NºAsuntos!E13," - ")</f>
        <v>1.0324909747292419</v>
      </c>
      <c r="C13" s="858">
        <f>IF(ISNUMBER(NºAsuntos!I13/NºAsuntos!G13),NºAsuntos!I13/NºAsuntos!G13," - ")</f>
        <v>0.55244755244755239</v>
      </c>
      <c r="D13" s="859">
        <f>IF(ISNUMBER('Resol  Asuntos'!D13/NºAsuntos!G13),'Resol  Asuntos'!D13/NºAsuntos!G13," - ")</f>
        <v>0.23076923076923078</v>
      </c>
      <c r="E13" s="860">
        <f>IF(ISNUMBER((NºAsuntos!C13+NºAsuntos!E13)/NºAsuntos!G13),(NºAsuntos!C13+NºAsuntos!E13)/NºAsuntos!G13," - ")</f>
        <v>1.5524475524475525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1.0419580419580419</v>
      </c>
      <c r="C16" s="442">
        <f>IF(ISNUMBER(NºAsuntos!I16/NºAsuntos!G16),NºAsuntos!I16/NºAsuntos!G16," - ")</f>
        <v>0.29194630872483224</v>
      </c>
      <c r="D16" s="443">
        <f>IF(ISNUMBER('Resol  Asuntos'!D16/NºAsuntos!G16),'Resol  Asuntos'!D16/NºAsuntos!G16," - ")</f>
        <v>7.7181208053691275E-2</v>
      </c>
      <c r="E16" s="444">
        <f>IF(ISNUMBER((NºAsuntos!C16+NºAsuntos!E16)/NºAsuntos!G16),(NºAsuntos!C16+NºAsuntos!E16)/NºAsuntos!G16," - ")</f>
        <v>1.2046979865771812</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0.4375</v>
      </c>
      <c r="D17" s="443">
        <f>IF(ISNUMBER('Resol  Asuntos'!D17/NºAsuntos!G17),'Resol  Asuntos'!D17/NºAsuntos!G17," - ")</f>
        <v>0</v>
      </c>
      <c r="E17" s="444">
        <f>IF(ISNUMBER((NºAsuntos!C17+NºAsuntos!E17)/NºAsuntos!G17),(NºAsuntos!C17+NºAsuntos!E17)/NºAsuntos!G17," - ")</f>
        <v>1.4375</v>
      </c>
      <c r="G17" s="462"/>
    </row>
    <row r="18" spans="1:7" ht="14.25" thickTop="1" thickBot="1">
      <c r="A18" s="847" t="str">
        <f>Datos!A18</f>
        <v>TOTAL</v>
      </c>
      <c r="B18" s="857">
        <f>IF(ISNUMBER(NºAsuntos!G18/NºAsuntos!E18),NºAsuntos!G18/NºAsuntos!E18," - ")</f>
        <v>1.0261437908496731</v>
      </c>
      <c r="C18" s="858">
        <f>IF(ISNUMBER(NºAsuntos!I18/NºAsuntos!G18),NºAsuntos!I18/NºAsuntos!G18," - ")</f>
        <v>0.29936305732484075</v>
      </c>
      <c r="D18" s="861">
        <f>IF(ISNUMBER('Resol  Asuntos'!D18/NºAsuntos!G18),'Resol  Asuntos'!D18/NºAsuntos!G18," - ")</f>
        <v>7.32484076433121E-2</v>
      </c>
      <c r="E18" s="860">
        <f>IF(ISNUMBER((NºAsuntos!C18+NºAsuntos!E18)/NºAsuntos!G18),(NºAsuntos!C18+NºAsuntos!E18)/NºAsuntos!G18," - ")</f>
        <v>1.2165605095541401</v>
      </c>
      <c r="G18" s="462"/>
    </row>
    <row r="19" spans="1:7" ht="15.75" customHeight="1" thickTop="1" thickBot="1">
      <c r="A19" s="792" t="str">
        <f>Datos!A19</f>
        <v>TOTAL JURISDICCIONES</v>
      </c>
      <c r="B19" s="807">
        <f>IF(ISNUMBER(NºAsuntos!G19/NºAsuntos!E19),NºAsuntos!G19/NºAsuntos!E19," - ")</f>
        <v>1.0291595197255574</v>
      </c>
      <c r="C19" s="808">
        <f>IF(ISNUMBER(NºAsuntos!I19/NºAsuntos!G19),NºAsuntos!I19/NºAsuntos!G19," - ")</f>
        <v>0.42</v>
      </c>
      <c r="D19" s="809">
        <f>IF(ISNUMBER('Resol  Asuntos'!D19/NºAsuntos!G19),'Resol  Asuntos'!D19/NºAsuntos!G19," - ")</f>
        <v>0.14833333333333334</v>
      </c>
      <c r="E19" s="810">
        <f>IF(ISNUMBER((NºAsuntos!C19+NºAsuntos!E19)/NºAsuntos!G19),(NºAsuntos!C19+NºAsuntos!E19)/NºAsuntos!G19," - ")</f>
        <v>1.3766666666666667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a9hGqoGzAjjWm11LZPp96Z/XEIZjStEHjwvgHpgsayFnvETOsh0T6KqEiyqpZ+0kpHQR/6smd75rvWKTnQnRw==" saltValue="jfMS8Nww4S63TetzrA4q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ALCARAZ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v>
      </c>
      <c r="Y12" s="333">
        <f t="shared" si="0"/>
        <v>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66</v>
      </c>
      <c r="AJ12" s="228" t="str">
        <f>IF(ISNUMBER(Datos!BW12),Datos!BW12," - ")</f>
        <v xml:space="preserve"> - </v>
      </c>
      <c r="AK12" s="227" t="str">
        <f>IF(ISNUMBER(Datos!BX12),Datos!BX12," - ")</f>
        <v xml:space="preserve"> - </v>
      </c>
      <c r="AL12" s="242">
        <f>IF(ISNUMBER(NºAsuntos!G12/NºAsuntos!E12),NºAsuntos!G12/NºAsuntos!E12," - ")</f>
        <v>1.0324909747292419</v>
      </c>
      <c r="AM12" s="259">
        <f>IF(ISNUMBER(((NºAsuntos!I12/NºAsuntos!G12)*11)/factor_trimestre),((NºAsuntos!I12/NºAsuntos!G12)*11)/factor_trimestre," - ")</f>
        <v>6.0769230769230766</v>
      </c>
      <c r="AN12" s="243">
        <f>IF(ISNUMBER('Resol  Asuntos'!D12/NºAsuntos!G12),'Resol  Asuntos'!D12/NºAsuntos!G12," - ")</f>
        <v>0.23076923076923078</v>
      </c>
      <c r="AO12" s="244">
        <f>IF(ISNUMBER((NºAsuntos!C12+NºAsuntos!E12)/NºAsuntos!G12),(NºAsuntos!C12+NºAsuntos!E12)/NºAsuntos!G12," - ")</f>
        <v>1.5524475524475525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39</v>
      </c>
      <c r="Y13" s="867">
        <f t="shared" si="4"/>
        <v>39</v>
      </c>
      <c r="Z13" s="867">
        <f t="shared" si="4"/>
        <v>0</v>
      </c>
      <c r="AA13" s="867">
        <f t="shared" si="4"/>
        <v>0</v>
      </c>
      <c r="AB13" s="867">
        <f t="shared" si="4"/>
        <v>595</v>
      </c>
      <c r="AC13" s="867">
        <f t="shared" si="4"/>
        <v>0</v>
      </c>
      <c r="AD13" s="867">
        <f t="shared" si="4"/>
        <v>0</v>
      </c>
      <c r="AE13" s="871">
        <f t="shared" si="4"/>
        <v>0</v>
      </c>
      <c r="AF13" s="864">
        <f t="shared" si="4"/>
        <v>0</v>
      </c>
      <c r="AG13" s="872">
        <f t="shared" si="4"/>
        <v>0</v>
      </c>
      <c r="AH13" s="869">
        <f t="shared" si="4"/>
        <v>0</v>
      </c>
      <c r="AI13" s="864">
        <f t="shared" si="4"/>
        <v>66</v>
      </c>
      <c r="AJ13" s="866">
        <f t="shared" si="4"/>
        <v>0</v>
      </c>
      <c r="AK13" s="869">
        <f>SUBTOTAL(9,AK9:AK12)</f>
        <v>0</v>
      </c>
      <c r="AL13" s="873">
        <f>IF(ISNUMBER(NºAsuntos!G13/NºAsuntos!E13),NºAsuntos!G13/NºAsuntos!E13," - ")</f>
        <v>1.0324909747292419</v>
      </c>
      <c r="AM13" s="873">
        <f>IF(ISNUMBER(((NºAsuntos!I13/NºAsuntos!G13)*11)/factor_trimestre),((NºAsuntos!I13/NºAsuntos!G13)*11)/factor_trimestre," - ")</f>
        <v>6.0769230769230766</v>
      </c>
      <c r="AN13" s="874">
        <f>IF(ISNUMBER('Resol  Asuntos'!D13/NºAsuntos!G13),'Resol  Asuntos'!D13/NºAsuntos!G13," - ")</f>
        <v>0.23076923076923078</v>
      </c>
      <c r="AO13" s="875">
        <f>IF(ISNUMBER((NºAsuntos!C13+NºAsuntos!E13)/NºAsuntos!G13),(NºAsuntos!C13+NºAsuntos!E13)/NºAsuntos!G13," - ")</f>
        <v>1.5524475524475525</v>
      </c>
      <c r="AP13" s="876" t="str">
        <f t="shared" si="2"/>
        <v xml:space="preserve"> - </v>
      </c>
      <c r="AQ13" s="876" t="str">
        <f>IF(ISNUMBER((H13-W13+K13)/(F13)),(H13-W13+K13)/(F13)," - ")</f>
        <v xml:space="preserve"> - </v>
      </c>
      <c r="AR13" s="877">
        <f>IF(ISNUMBER((Datos!P13-Datos!Q13)/(Datos!R13-Datos!P13+Datos!Q13)),(Datos!P13-Datos!Q13)/(Datos!R13-Datos!P13+Datos!Q13)," - ")</f>
        <v>8.3788706739526417E-2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99</v>
      </c>
      <c r="G16" s="332">
        <f>IF(ISNUMBER(IF(D_I="SI",Datos!I16,Datos!I16+Datos!AC16)),IF(D_I="SI",Datos!I16,Datos!I16+Datos!AC16)," - ")</f>
        <v>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298</v>
      </c>
      <c r="X16" s="225">
        <f>IF(ISNUMBER(Datos!Q16),Datos!Q16," - ")</f>
        <v>4</v>
      </c>
      <c r="Y16" s="333">
        <f t="shared" ref="Y16:Y17" si="7">SUM(W16:X16)</f>
        <v>302</v>
      </c>
      <c r="Z16" s="334" t="str">
        <f>IF(ISNUMBER(Datos!CC16),Datos!CC16," - ")</f>
        <v xml:space="preserve"> - </v>
      </c>
      <c r="AA16" s="331">
        <f>IF(ISNUMBER(IF(D_I="SI",Datos!L16,Datos!L16+Datos!AF16)),IF(D_I="SI",Datos!L16,Datos!L16+Datos!AF16)," - ")</f>
        <v>87</v>
      </c>
      <c r="AB16" s="333">
        <f>IF(ISNUMBER(Datos!R16),Datos!R16," - ")</f>
        <v>16</v>
      </c>
      <c r="AC16" s="333">
        <f t="shared" si="6"/>
        <v>103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1.0419580419580419</v>
      </c>
      <c r="AM16" s="259">
        <f>IF(ISNUMBER(((NºAsuntos!I16/NºAsuntos!G16)*11)/factor_trimestre),((NºAsuntos!I16/NºAsuntos!G16)*11)/factor_trimestre," - ")</f>
        <v>3.2114093959731544</v>
      </c>
      <c r="AN16" s="243">
        <f>IF(ISNUMBER('Resol  Asuntos'!D16/NºAsuntos!G16),'Resol  Asuntos'!D16/NºAsuntos!G16," - ")</f>
        <v>7.7181208053691275E-2</v>
      </c>
      <c r="AO16" s="244">
        <f>IF(ISNUMBER((NºAsuntos!C16+NºAsuntos!E16)/NºAsuntos!G16),(NºAsuntos!C16+NºAsuntos!E16)/NºAsuntos!G16," - ")</f>
        <v>1.2046979865771812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4.8125</v>
      </c>
      <c r="AN17" s="243">
        <f>IF(ISNUMBER('Resol  Asuntos'!D17/NºAsuntos!G17),'Resol  Asuntos'!D17/NºAsuntos!G17," - ")</f>
        <v>0</v>
      </c>
      <c r="AO17" s="244">
        <f>IF(ISNUMBER((NºAsuntos!C17+NºAsuntos!E17)/NºAsuntos!G17),(NºAsuntos!C17+NºAsuntos!E17)/NºAsuntos!G17," - ")</f>
        <v>1.4375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99</v>
      </c>
      <c r="G18" s="865">
        <f>SUBTOTAL(9,G15:G17)</f>
        <v>76</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314</v>
      </c>
      <c r="X18" s="866">
        <f t="shared" si="11"/>
        <v>4</v>
      </c>
      <c r="Y18" s="867">
        <f t="shared" si="11"/>
        <v>318</v>
      </c>
      <c r="Z18" s="867">
        <f t="shared" si="11"/>
        <v>0</v>
      </c>
      <c r="AA18" s="867">
        <f t="shared" si="11"/>
        <v>94</v>
      </c>
      <c r="AB18" s="867">
        <f t="shared" si="11"/>
        <v>16</v>
      </c>
      <c r="AC18" s="867">
        <f t="shared" si="11"/>
        <v>110</v>
      </c>
      <c r="AD18" s="867">
        <f t="shared" si="11"/>
        <v>0</v>
      </c>
      <c r="AE18" s="871">
        <f t="shared" si="11"/>
        <v>0</v>
      </c>
      <c r="AF18" s="864">
        <f t="shared" si="11"/>
        <v>0</v>
      </c>
      <c r="AG18" s="872">
        <f t="shared" si="11"/>
        <v>0</v>
      </c>
      <c r="AH18" s="869">
        <f t="shared" si="11"/>
        <v>0</v>
      </c>
      <c r="AI18" s="864">
        <f t="shared" si="11"/>
        <v>23</v>
      </c>
      <c r="AJ18" s="866">
        <f t="shared" si="11"/>
        <v>0</v>
      </c>
      <c r="AK18" s="869">
        <f t="shared" si="11"/>
        <v>0</v>
      </c>
      <c r="AL18" s="873">
        <f>IF(ISNUMBER(NºAsuntos!G18/NºAsuntos!E18),NºAsuntos!G18/NºAsuntos!E18," - ")</f>
        <v>1.0261437908496731</v>
      </c>
      <c r="AM18" s="873">
        <f>IF(ISNUMBER(((NºAsuntos!I18/NºAsuntos!G18)*11)/factor_trimestre),((NºAsuntos!I18/NºAsuntos!G18)*11)/factor_trimestre," - ")</f>
        <v>3.2929936305732483</v>
      </c>
      <c r="AN18" s="874">
        <f>IF(ISNUMBER('Resol  Asuntos'!D18/NºAsuntos!G18),'Resol  Asuntos'!D18/NºAsuntos!G18," - ")</f>
        <v>7.32484076433121E-2</v>
      </c>
      <c r="AO18" s="875">
        <f>IF(ISNUMBER((NºAsuntos!C18+NºAsuntos!E18)/NºAsuntos!G18),(NºAsuntos!C18+NºAsuntos!E18)/NºAsuntos!G18," - ")</f>
        <v>1.2165605095541401</v>
      </c>
      <c r="AP18" s="876" t="str">
        <f t="shared" si="2"/>
        <v xml:space="preserve"> - </v>
      </c>
      <c r="AQ18" s="876">
        <f>IF(ISNUMBER((H18-W18+K18)/(F18)),(H18-W18+K18)/(F18)," - ")</f>
        <v>-3.1717171717171717</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99</v>
      </c>
      <c r="G19" s="820">
        <f t="shared" si="13"/>
        <v>76</v>
      </c>
      <c r="H19" s="819">
        <f t="shared" si="13"/>
        <v>0</v>
      </c>
      <c r="I19" s="821">
        <f t="shared" si="13"/>
        <v>0</v>
      </c>
      <c r="J19" s="821">
        <f t="shared" si="13"/>
        <v>0</v>
      </c>
      <c r="K19" s="880">
        <f t="shared" si="13"/>
        <v>0</v>
      </c>
      <c r="L19" s="821">
        <f t="shared" si="13"/>
        <v>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314</v>
      </c>
      <c r="X19" s="820">
        <f t="shared" si="14"/>
        <v>43</v>
      </c>
      <c r="Y19" s="827">
        <f t="shared" si="14"/>
        <v>357</v>
      </c>
      <c r="Z19" s="827">
        <f t="shared" si="14"/>
        <v>0</v>
      </c>
      <c r="AA19" s="827">
        <f t="shared" si="14"/>
        <v>94</v>
      </c>
      <c r="AB19" s="827">
        <f t="shared" si="14"/>
        <v>611</v>
      </c>
      <c r="AC19" s="827">
        <f t="shared" si="14"/>
        <v>110</v>
      </c>
      <c r="AD19" s="827">
        <f t="shared" si="14"/>
        <v>0</v>
      </c>
      <c r="AE19" s="829">
        <f t="shared" si="14"/>
        <v>0</v>
      </c>
      <c r="AF19" s="830">
        <f t="shared" si="14"/>
        <v>0</v>
      </c>
      <c r="AG19" s="831">
        <f t="shared" si="14"/>
        <v>0</v>
      </c>
      <c r="AH19" s="829">
        <f t="shared" si="14"/>
        <v>0</v>
      </c>
      <c r="AI19" s="819">
        <f t="shared" si="14"/>
        <v>89</v>
      </c>
      <c r="AJ19" s="819">
        <f t="shared" si="14"/>
        <v>0</v>
      </c>
      <c r="AK19" s="829">
        <f t="shared" si="14"/>
        <v>0</v>
      </c>
      <c r="AL19" s="883">
        <f>IF(ISNUMBER(NºAsuntos!G19/NºAsuntos!E19),NºAsuntos!G19/NºAsuntos!E19," - ")</f>
        <v>1.0291595197255574</v>
      </c>
      <c r="AM19" s="884">
        <f>IF(ISNUMBER(((NºAsuntos!I19/NºAsuntos!G19)*11)/factor_trimestre),((NºAsuntos!I19/NºAsuntos!G19)*11)/factor_trimestre," - ")</f>
        <v>4.62</v>
      </c>
      <c r="AN19" s="884">
        <f>IF(ISNUMBER('Resol  Asuntos'!D19/NºAsuntos!G19),'Resol  Asuntos'!D19/NºAsuntos!G19," - ")</f>
        <v>0.14833333333333334</v>
      </c>
      <c r="AO19" s="885">
        <f>IF(ISNUMBER((NºAsuntos!C19+NºAsuntos!E19)/NºAsuntos!G19),(NºAsuntos!C19+NºAsuntos!E19)/NºAsuntos!G19," - ")</f>
        <v>1.3766666666666667</v>
      </c>
      <c r="AP19" s="886" t="str">
        <f t="shared" si="2"/>
        <v xml:space="preserve"> - </v>
      </c>
      <c r="AQ19" s="887">
        <f>IF(OR(ISNUMBER(FIND("01",Criterios!A8,1)),ISNUMBER(FIND("02",Criterios!A8,1)),ISNUMBER(FIND("03",Criterios!A8,1)),ISNUMBER(FIND("04",Criterios!A8,1))),(I19-W19+K19)/(F19-K19),(H19-W19+K19)/(F19-K19))</f>
        <v>-3.1717171717171717</v>
      </c>
      <c r="AR19" s="888">
        <f>IF(ISNUMBER((Datos!P19-Datos!Q19)/(Datos!R19-Datos!P19+Datos!Q19)),(Datos!P19-Datos!Q19)/(Datos!R19-Datos!P19+Datos!Q19)," - ")</f>
        <v>8.9126559714795009E-2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57.157676649772952</v>
      </c>
      <c r="G21" s="252">
        <f>IF(ISNUMBER(STDEV(G8:G18)),STDEV(G8:G18),"-")</f>
        <v>40.290197318950923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164.90845945554156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29.964423349476736</v>
      </c>
      <c r="AJ21" s="251">
        <f t="shared" si="18"/>
        <v>0</v>
      </c>
      <c r="AK21" s="253">
        <f t="shared" si="18"/>
        <v>0</v>
      </c>
      <c r="AL21" s="248">
        <f t="shared" si="18"/>
        <v>0.10447457337014736</v>
      </c>
      <c r="AM21" s="249">
        <f t="shared" si="18"/>
        <v>1.4142036944373948</v>
      </c>
      <c r="AN21" s="249">
        <f t="shared" si="18"/>
        <v>0.10359797093512331</v>
      </c>
      <c r="AO21" s="250">
        <f t="shared" si="18"/>
        <v>0.17278272009439588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6zT33fLrZqoMxBsR9mR3r8ewPMhrqvVKXVqZEnvkX20/Lf8o/ovHSZjbAEH1kX9EBR6N+cCtoJma2STNE6ug==" saltValue="QhsAaHwTEZ2+iFTrWaEo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ALCARAZ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-0.1951219512195122</v>
      </c>
      <c r="I12" s="349">
        <f>IF(ISNUMBER((Tasas!C12-Datos!BE12)/Datos!BE12),(Tasas!C12-Datos!BE12)/Datos!BE12," - ")</f>
        <v>-2.08115238055358E-2</v>
      </c>
      <c r="J12" s="348">
        <f>IF(ISNUMBER((Tasas!D12-Datos!BF12)/Datos!BF12),(Tasas!D12-Datos!BF12)/Datos!BF12," - ")</f>
        <v>-0.54461538461538461</v>
      </c>
      <c r="K12" s="350">
        <f>IF(ISNUMBER((Tasas!E12-Datos!BG12)/Datos!BG12),(Tasas!E12-Datos!BG12)/Datos!BG12," - ")</f>
        <v>-1.3895975269365804E-2</v>
      </c>
      <c r="M12" t="e">
        <f>IF(Monitorios="SI",Datos!CE12,0)</f>
        <v>#REF!</v>
      </c>
      <c r="N12" t="e">
        <f>IF(Monitorios="SI",Datos!CF12,0)</f>
        <v>#REF!</v>
      </c>
      <c r="O12" t="e">
        <f>IF(Monitorios="SI",Datos!CG12,0)</f>
        <v>#REF!</v>
      </c>
      <c r="P12" t="e">
        <f>IF(Monitorios="SI",Datos!CH12,0)</f>
        <v>#REF!</v>
      </c>
      <c r="Q12">
        <f>IF(J_V="SI",0,Datos!AG12)</f>
        <v>0</v>
      </c>
      <c r="R12">
        <f>IF(J_V="SI",0,Datos!AH12)</f>
        <v>17</v>
      </c>
      <c r="S12">
        <f>IF(J_V="SI",0,Datos!AI12)</f>
        <v>11</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-0.1951219512195122</v>
      </c>
      <c r="I13" s="356">
        <f>IF(ISNUMBER((Tasas!C13-Datos!BE13)/Datos!BE13),(Tasas!C13-Datos!BE13)/Datos!BE13," - ")</f>
        <v>-2.08115238055358E-2</v>
      </c>
      <c r="J13" s="354">
        <f>IF(ISNUMBER((Tasas!D13-Datos!BF13)/Datos!BF13),(Tasas!D13-Datos!BF13)/Datos!BF13," - ")</f>
        <v>-0.54461538461538461</v>
      </c>
      <c r="K13" s="357">
        <f>IF(ISNUMBER((Tasas!E13-Datos!BG13)/Datos!BG13),(Tasas!E13-Datos!BG13)/Datos!BG13," - ")</f>
        <v>-1.3895975269365804E-2</v>
      </c>
      <c r="M13" t="e">
        <f>IF(Monitorios="SI",Datos!CE13,0)</f>
        <v>#REF!</v>
      </c>
      <c r="N13" t="e">
        <f>IF(Monitorios="SI",Datos!CF13,0)</f>
        <v>#REF!</v>
      </c>
      <c r="O13" t="e">
        <f>IF(Monitorios="SI",Datos!CG13,0)</f>
        <v>#REF!</v>
      </c>
      <c r="P13" t="e">
        <f>IF(Monitorios="SI",Datos!CH13,0)</f>
        <v>#REF!</v>
      </c>
      <c r="Q13">
        <f>IF(J_V="SI",0,Datos!AG13)</f>
        <v>0</v>
      </c>
      <c r="R13">
        <f>IF(J_V="SI",0,Datos!AH13)</f>
        <v>17</v>
      </c>
      <c r="S13">
        <f>IF(J_V="SI",0,Datos!AI13)</f>
        <v>11</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-0.13095238095238096</v>
      </c>
      <c r="E16" s="347">
        <f>IF(ISNUMBER(
   IF(D_I="SI",(Datos!J16-Datos!T16)/Datos!T16,(Datos!J16+Datos!AD16-(Datos!T16+Datos!AL16))/(Datos!T16+Datos!AL16))
     ),IF(D_I="SI",(Datos!J16-Datos!T16)/Datos!T16,(Datos!J16+Datos!AD16-(Datos!T16+Datos!AL16))/(Datos!T16+Datos!AL16))," - ")</f>
        <v>0.10424710424710425</v>
      </c>
      <c r="F16" s="347">
        <f>IF(ISNUMBER(
   IF(D_I="SI",(Datos!K16-Datos!U16)/Datos!U16,(Datos!K16+Datos!AE16-(Datos!U16+Datos!AM16))/(Datos!U16+Datos!AM16))
     ),IF(D_I="SI",(Datos!K16-Datos!U16)/Datos!U16,(Datos!K16+Datos!AE16-(Datos!U16+Datos!AM16))/(Datos!U16+Datos!AM16))," - ")</f>
        <v>9.5588235294117641E-2</v>
      </c>
      <c r="G16" s="348">
        <f>IF(ISNUMBER(
   IF(D_I="SI",(Datos!L16-Datos!V16)/Datos!V16,(Datos!L16+Datos!AF16-(Datos!V16+Datos!AN16))/(Datos!V16+Datos!AN16))
     ),IF(D_I="SI",(Datos!L16-Datos!V16)/Datos!V16,(Datos!L16+Datos!AF16-(Datos!V16+Datos!AN16))/(Datos!V16+Datos!AN16))," - ")</f>
        <v>0.19178082191780821</v>
      </c>
      <c r="H16" s="229">
        <f>IF(ISNUMBER((Datos!M16-Datos!W16)/Datos!W16),(Datos!M16-Datos!W16)/Datos!W16," - ")</f>
        <v>-0.11538461538461539</v>
      </c>
      <c r="I16" s="349">
        <f>IF(ISNUMBER((Tasas!C16-Datos!BE16)/Datos!BE16),(Tasas!C16-Datos!BE16)/Datos!BE16," - ")</f>
        <v>8.7799944837731111E-2</v>
      </c>
      <c r="J16" s="348">
        <f>IF(ISNUMBER((Tasas!D16-Datos!BF16)/Datos!BF16),(Tasas!D16-Datos!BF16)/Datos!BF16," - ")</f>
        <v>-0.19256582343830661</v>
      </c>
      <c r="K16" s="350">
        <f>IF(ISNUMBER((Tasas!E16-Datos!BG16)/Datos!BG16),(Tasas!E16-Datos!BG16)/Datos!BG16," - ")</f>
        <v>-4.4670984405267365E-2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-5.8823529411764705E-2</v>
      </c>
      <c r="G17" s="348">
        <f>IF(ISNUMBER(
   IF(D_I="SI",(Datos!L17-Datos!V17)/Datos!V17,(Datos!L17+Datos!AF17-(Datos!V17+Datos!AN17))/(Datos!V17+Datos!AN17))
     ),IF(D_I="SI",(Datos!L17-Datos!V17)/Datos!V17,(Datos!L17+Datos!AF17-(Datos!V17+Datos!AN17))/(Datos!V17+Datos!AN17))," - ")</f>
        <v>1.3333333333333333</v>
      </c>
      <c r="H17" s="229" t="str">
        <f>IF(ISNUMBER((Datos!M17-Datos!W17)/Datos!W17),(Datos!M17-Datos!W17)/Datos!W17," - ")</f>
        <v xml:space="preserve"> - </v>
      </c>
      <c r="I17" s="349">
        <f>IF(ISNUMBER((Tasas!C17-Datos!BE17)/Datos!BE17),(Tasas!C17-Datos!BE17)/Datos!BE17," - ")</f>
        <v>1.4791666666666663</v>
      </c>
      <c r="J17" s="348" t="str">
        <f>IF(ISNUMBER((Tasas!D17-Datos!BF17)/Datos!BF17),(Tasas!D17-Datos!BF17)/Datos!BF17," - ")</f>
        <v xml:space="preserve"> - </v>
      </c>
      <c r="K17" s="350">
        <f>IF(ISNUMBER((Tasas!E17-Datos!BG17)/Datos!BG17),(Tasas!E17-Datos!BG17)/Datos!BG17," - ")</f>
        <v>0.28618421052631576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-0.12643678160919541</v>
      </c>
      <c r="E18" s="353">
        <f>IF(ISNUMBER(
   IF(D_I="SI",(Datos!J18-Datos!T18)/Datos!T18,(Datos!J18+Datos!AD18-(Datos!T18+Datos!AL18))/(Datos!T18+Datos!AL18))
     ),IF(D_I="SI",(Datos!J18-Datos!T18)/Datos!T18,(Datos!J18+Datos!AD18-(Datos!T18+Datos!AL18))/(Datos!T18+Datos!AL18))," - ")</f>
        <v>0.11272727272727273</v>
      </c>
      <c r="F18" s="353">
        <f>IF(ISNUMBER(
   IF(D_I="SI",(Datos!K18-Datos!U18)/Datos!U18,(Datos!K18+Datos!AE18-(Datos!U18+Datos!AM18))/(Datos!U18+Datos!AM18))
     ),IF(D_I="SI",(Datos!K18-Datos!U18)/Datos!U18,(Datos!K18+Datos!AE18-(Datos!U18+Datos!AM18))/(Datos!U18+Datos!AM18))," - ")</f>
        <v>8.6505190311418678E-2</v>
      </c>
      <c r="G18" s="354">
        <f>IF(ISNUMBER(
   IF(D_I="SI",(Datos!L18-Datos!V18)/Datos!V18,(Datos!L18+Datos!AF18-(Datos!V18+Datos!AN18))/(Datos!V18+Datos!AN18))
     ),IF(D_I="SI",(Datos!L18-Datos!V18)/Datos!V18,(Datos!L18+Datos!AF18-(Datos!V18+Datos!AN18))/(Datos!V18+Datos!AN18))," - ")</f>
        <v>0.23684210526315788</v>
      </c>
      <c r="H18" s="355">
        <f>IF(ISNUMBER((Datos!M18-Datos!W18)/Datos!W18),(Datos!M18-Datos!W18)/Datos!W18," - ")</f>
        <v>-0.11538461538461539</v>
      </c>
      <c r="I18" s="356">
        <f>IF(ISNUMBER((Tasas!C18-Datos!BE18)/Datos!BE18),(Tasas!C18-Datos!BE18)/Datos!BE18," - ")</f>
        <v>0.13836741535367086</v>
      </c>
      <c r="J18" s="354">
        <f>IF(ISNUMBER((Tasas!D18-Datos!BF18)/Datos!BF18),(Tasas!D18-Datos!BF18)/Datos!BF18," - ")</f>
        <v>-0.18581577658010787</v>
      </c>
      <c r="K18" s="357">
        <f>IF(ISNUMBER((Tasas!E18-Datos!BG18)/Datos!BG18),(Tasas!E18-Datos!BG18)/Datos!BG18," - ")</f>
        <v>-2.8767990991308133E-2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4.2918454935622317E-2</v>
      </c>
      <c r="E19" s="362">
        <f>IF(ISNUMBER(
   IF(J_V="SI",(Datos!J19-Datos!T19)/Datos!T19,(Datos!J19+Datos!Z19-(Datos!T19+Datos!AH19))/(Datos!T19+Datos!AH19))
     ),IF(J_V="SI",(Datos!J19-Datos!T19)/Datos!T19,(Datos!J19+Datos!Z19-(Datos!T19+Datos!AH19))/(Datos!T19+Datos!AH19))," - ")</f>
        <v>-2.0168067226890758E-2</v>
      </c>
      <c r="F19" s="362">
        <f>IF(ISNUMBER(
   IF(J_V="SI",(Datos!K19-Datos!U19)/Datos!U19,(Datos!K19+Datos!AA19-(Datos!U19+Datos!AI19))/(Datos!U19+Datos!AI19))
     ),IF(J_V="SI",(Datos!K19-Datos!U19)/Datos!U19,(Datos!K19+Datos!AA19-(Datos!U19+Datos!AI19))/(Datos!U19+Datos!AI19))," - ")</f>
        <v>2.564102564102564E-2</v>
      </c>
      <c r="G19" s="363">
        <f>IF(ISNUMBER(
   IF(J_V="SI",(Datos!L19-Datos!V19)/Datos!V19,(Datos!L19+Datos!AB19-(Datos!V19+Datos!AJ19))/(Datos!V19+Datos!AJ19))
     ),IF(J_V="SI",(Datos!L19-Datos!V19)/Datos!V19,(Datos!L19+Datos!AB19-(Datos!V19+Datos!AJ19))/(Datos!V19+Datos!AJ19))," - ")</f>
        <v>3.7037037037037035E-2</v>
      </c>
      <c r="H19" s="364">
        <f>IF(ISNUMBER((Datos!M19-Datos!W19)/Datos!W19),(Datos!M19-Datos!W19)/Datos!W19," - ")</f>
        <v>-0.17592592592592593</v>
      </c>
      <c r="I19" s="361">
        <f>IF(ISNUMBER((Tasas!C19-Datos!BE19)/Datos!BE19),(Tasas!C19-Datos!BE19)/Datos!BE19," - ")</f>
        <v>1.1111111111111018E-2</v>
      </c>
      <c r="J19" s="362">
        <f>IF(ISNUMBER((Tasas!D19-Datos!BF19)/Datos!BF19),(Tasas!D19-Datos!BF19)/Datos!BF19," - ")</f>
        <v>-0.50696022727272716</v>
      </c>
      <c r="K19" s="363">
        <f>IF(ISNUMBER((Tasas!E19-Datos!BG19)/Datos!BG19),(Tasas!E19-Datos!BG19)/Datos!BG19," - ")</f>
        <v>-2.7355072463768143E-2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7.4336146947741197E-2</v>
      </c>
      <c r="E21" s="277">
        <f t="shared" si="1"/>
        <v>8.1812408931142708E-2</v>
      </c>
      <c r="F21" s="277">
        <f t="shared" si="1"/>
        <v>8.6646726772300411E-2</v>
      </c>
      <c r="G21" s="278">
        <f t="shared" si="1"/>
        <v>0.64646031958796768</v>
      </c>
      <c r="H21" s="284">
        <f t="shared" si="1"/>
        <v>4.6036372308741171E-2</v>
      </c>
      <c r="I21" s="276">
        <f t="shared" si="1"/>
        <v>0.64460604136863264</v>
      </c>
      <c r="J21" s="277">
        <f t="shared" si="1"/>
        <v>0.2052229819072966</v>
      </c>
      <c r="K21" s="278">
        <f t="shared" si="1"/>
        <v>0.13988312020143404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Nvg3SRWESYcJC6/4C3tewxaWr0AbsMURKQxZkCdGEt/Pf9TTpUsG3XaYCyZ7d3ot1mBuzRnydvt+hoa77SG0A==" saltValue="9xooGG+Df4W+drhtPMph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